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zabloudilova\Desktop\insolvence\"/>
    </mc:Choice>
  </mc:AlternateContent>
  <bookViews>
    <workbookView xWindow="0" yWindow="0" windowWidth="25200" windowHeight="11685" tabRatio="838"/>
  </bookViews>
  <sheets>
    <sheet name="Zadání" sheetId="7" r:id="rId1"/>
    <sheet name="Výpočet u navrhovatele" sheetId="1" r:id="rId2"/>
    <sheet name="2. z manželů" sheetId="5" r:id="rId3"/>
    <sheet name="Společné oddlužení manželů" sheetId="4" r:id="rId4"/>
    <sheet name="Přímé zadání splátky" sheetId="6" r:id="rId5"/>
    <sheet name="Výpočet průměrného příjmu" sheetId="3" r:id="rId6"/>
    <sheet name="Cestovné" sheetId="9" r:id="rId7"/>
  </sheets>
  <definedNames>
    <definedName name="_xlnm.Print_Area" localSheetId="2">'2. z manželů'!$A$1:$B$35</definedName>
    <definedName name="_xlnm.Print_Area" localSheetId="4">'Přímé zadání splátky'!$A$1:$B$26</definedName>
    <definedName name="_xlnm.Print_Area" localSheetId="3">'Společné oddlužení manželů'!$A$1:$B$28</definedName>
    <definedName name="_xlnm.Print_Area" localSheetId="1">'Výpočet u navrhovatele'!$A$1:$B$39</definedName>
  </definedNames>
  <calcPr calcId="152511"/>
</workbook>
</file>

<file path=xl/calcChain.xml><?xml version="1.0" encoding="utf-8"?>
<calcChain xmlns="http://schemas.openxmlformats.org/spreadsheetml/2006/main">
  <c r="A17" i="4" l="1"/>
  <c r="A16" i="4"/>
  <c r="B26" i="1"/>
  <c r="B16" i="4" s="1"/>
  <c r="B13" i="6" s="1"/>
  <c r="B27" i="1"/>
  <c r="B17" i="4" s="1"/>
  <c r="B14" i="6" s="1"/>
  <c r="B25" i="1"/>
  <c r="B15" i="4" s="1"/>
  <c r="B24" i="5"/>
  <c r="B24" i="1"/>
  <c r="E14" i="7"/>
  <c r="B12" i="6" l="1"/>
  <c r="L5" i="7" l="1"/>
  <c r="L10" i="9"/>
  <c r="L11" i="9" s="1"/>
  <c r="O9" i="9"/>
  <c r="O10" i="9" s="1"/>
  <c r="O11" i="9" s="1"/>
  <c r="L9" i="9"/>
  <c r="O8" i="9"/>
  <c r="L8" i="9"/>
  <c r="N2" i="9"/>
  <c r="L6" i="7" l="1"/>
  <c r="L3" i="7"/>
  <c r="L4" i="7" s="1"/>
  <c r="O12" i="9"/>
  <c r="O13" i="9" s="1"/>
  <c r="C6" i="9" s="1"/>
  <c r="L12" i="9"/>
  <c r="L13" i="9" s="1"/>
  <c r="C5" i="9" s="1"/>
  <c r="L15" i="9" l="1"/>
  <c r="C7" i="9"/>
  <c r="C9" i="9" l="1"/>
  <c r="C10" i="9" s="1"/>
  <c r="B15" i="7" l="1"/>
  <c r="G12" i="7" l="1"/>
  <c r="H12" i="7" s="1"/>
  <c r="F12" i="1"/>
  <c r="B10" i="5" l="1"/>
  <c r="F12" i="5"/>
  <c r="B12" i="1" l="1"/>
  <c r="B10" i="1"/>
  <c r="B12" i="5" l="1"/>
  <c r="E11" i="7" l="1"/>
  <c r="H13" i="7"/>
  <c r="G13" i="7"/>
  <c r="E6" i="5"/>
  <c r="B9" i="3"/>
  <c r="B17" i="3" s="1"/>
  <c r="B23" i="5"/>
  <c r="B23" i="1"/>
  <c r="E13" i="7" l="1"/>
  <c r="B25" i="5" s="1"/>
  <c r="B13" i="4"/>
  <c r="B12" i="3"/>
  <c r="B11" i="5"/>
  <c r="B28" i="1" l="1"/>
  <c r="B18" i="4" s="1"/>
  <c r="B15" i="6"/>
  <c r="E6" i="7"/>
  <c r="B8" i="5" s="1"/>
  <c r="E5" i="7"/>
  <c r="B8" i="1" s="1"/>
  <c r="B6" i="4"/>
  <c r="B6" i="5"/>
  <c r="B6" i="1"/>
  <c r="B13" i="5"/>
  <c r="B14" i="5" s="1"/>
  <c r="B16" i="5" l="1"/>
  <c r="B18" i="5" s="1"/>
  <c r="B17" i="5" l="1"/>
  <c r="B19" i="5" s="1"/>
  <c r="B22" i="5" s="1"/>
  <c r="B11" i="1"/>
  <c r="B14" i="4"/>
  <c r="B11" i="6" s="1"/>
  <c r="B8" i="4"/>
  <c r="B8" i="6" s="1"/>
  <c r="A4" i="6"/>
  <c r="A4" i="4"/>
  <c r="A4" i="5"/>
  <c r="A4" i="1"/>
  <c r="B16" i="6" l="1"/>
  <c r="B18" i="6" s="1"/>
  <c r="B20" i="5"/>
  <c r="B26" i="5"/>
  <c r="B28" i="5" s="1"/>
  <c r="B13" i="1"/>
  <c r="B14" i="1" l="1"/>
  <c r="B16" i="1" s="1"/>
  <c r="B18" i="1" s="1"/>
  <c r="B17" i="1" l="1"/>
  <c r="B19" i="1" s="1"/>
  <c r="B22" i="1" s="1"/>
  <c r="F22" i="6" l="1"/>
  <c r="B29" i="1"/>
  <c r="B31" i="1" s="1"/>
  <c r="B20" i="1"/>
  <c r="B10" i="4" s="1"/>
  <c r="B12" i="4"/>
  <c r="B19" i="4" s="1"/>
  <c r="B21" i="4" s="1"/>
  <c r="B33" i="5"/>
  <c r="B34" i="5" l="1"/>
  <c r="A31" i="5"/>
  <c r="B36" i="1"/>
  <c r="B37" i="1" l="1"/>
  <c r="A34" i="1"/>
  <c r="B6" i="6" l="1"/>
  <c r="F21" i="6" s="1"/>
  <c r="B23" i="6" l="1"/>
  <c r="B24" i="6" s="1"/>
  <c r="F23" i="6"/>
  <c r="A21" i="6"/>
  <c r="B26" i="4" l="1"/>
  <c r="A24" i="4" l="1"/>
  <c r="B27" i="4"/>
</calcChain>
</file>

<file path=xl/comments1.xml><?xml version="1.0" encoding="utf-8"?>
<comments xmlns="http://schemas.openxmlformats.org/spreadsheetml/2006/main">
  <authors>
    <author>Karel</author>
  </authors>
  <commentList>
    <comment ref="G3" authorId="0" shapeId="0">
      <text>
        <r>
          <rPr>
            <sz val="9"/>
            <color indexed="81"/>
            <rFont val="Tahoma"/>
            <family val="2"/>
            <charset val="238"/>
          </rPr>
          <t xml:space="preserve">jedná se o příspěvek ke splátkám poskytovaný třetí osobou nebo samotným dlužníkem z nezabavitelné části jeho příjmů.
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  <charset val="238"/>
          </rPr>
          <t>Vlož částku dlužného výživného a proveď kontrolu počtu měsíců pod tímto odstavcem.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  <charset val="238"/>
          </rPr>
          <t>Karel:</t>
        </r>
        <r>
          <rPr>
            <sz val="9"/>
            <color indexed="81"/>
            <rFont val="Tahoma"/>
            <family val="2"/>
            <charset val="238"/>
          </rPr>
          <t xml:space="preserve">
Vyplň vybarvené buňky tabulky.
</t>
        </r>
      </text>
    </comment>
    <comment ref="I7" authorId="0" shapeId="0">
      <text>
        <r>
          <rPr>
            <sz val="9"/>
            <color indexed="81"/>
            <rFont val="Tahoma"/>
            <family val="2"/>
            <charset val="238"/>
          </rPr>
          <t>Plánovaný počet splátek na něž se dlužné výživné rozloží. 
ZMĚŇ jen pokud bude splácení kratší než 60 měsíců.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  <charset val="238"/>
          </rPr>
          <t>V případě manželů vložte písmeno 
x
automaticky bude zvýšena odměna o 50% jak určuje vyhláška.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Mgr. Karel Touschek</author>
    <author>Karel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částku odpovídající součtu přihlášených a IS a dlužníkem uznamých pohledávek.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čistou mzdu dlužníka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počet vyživivaných osob. Těmi jsou Manželka a děti, případně další osoba, jež je svěřena do péče dlužníka.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  <charset val="238"/>
          </rPr>
          <t>Karel:</t>
        </r>
        <r>
          <rPr>
            <sz val="9"/>
            <color indexed="81"/>
            <rFont val="Tahoma"/>
            <family val="2"/>
            <charset val="238"/>
          </rPr>
          <t xml:space="preserve">
Vlož výši příspěvku poskytovaného třetí osobou ke splátkám dlužníka.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částku výživného, které je povinen IS hradit za dlužníka.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Proveď kontrolu výše odměny a nákladů IS vč. DPH.</t>
        </r>
      </text>
    </comment>
  </commentList>
</comments>
</file>

<file path=xl/comments3.xml><?xml version="1.0" encoding="utf-8"?>
<comments xmlns="http://schemas.openxmlformats.org/spreadsheetml/2006/main">
  <authors>
    <author>Mgr. Karel Touschek</author>
    <author>Karel</author>
  </authors>
  <commentLis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čistou mzdu dlužníka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počet vyživivaných osob. Těmi jsou Manželka a děti, případně další osoba, jež je svěřena do péče dlužníka.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  <charset val="238"/>
          </rPr>
          <t>Karel:</t>
        </r>
        <r>
          <rPr>
            <sz val="9"/>
            <color indexed="81"/>
            <rFont val="Tahoma"/>
            <family val="2"/>
            <charset val="238"/>
          </rPr>
          <t xml:space="preserve">
Vlož výši příspěvku poskytovaného třetí osobou ke splátkám dlužníka.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částku výživného, které je povinen IS hradit za dlužníka.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Proveď kontrolu výše odměny a nákladů IS vč. DPH.</t>
        </r>
      </text>
    </comment>
  </commentList>
</comments>
</file>

<file path=xl/comments4.xml><?xml version="1.0" encoding="utf-8"?>
<comments xmlns="http://schemas.openxmlformats.org/spreadsheetml/2006/main">
  <authors>
    <author>Mgr. Karel Touschek</author>
    <author>Karel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Automaticky se vkládá položka č. 3 z listu zadání. POZOR!! nesmí obsahovat duplicity.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součet čistých mezd obou dlužníků z předchozích ůlistů.</t>
        </r>
      </text>
    </comment>
    <comment ref="B10" authorId="1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Součet nezabavitelné části příjmů ponechávaný dlužníkovi a jeho manželce z předchozích tabulek.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  <charset val="238"/>
          </rPr>
          <t>Karel:</t>
        </r>
        <r>
          <rPr>
            <sz val="9"/>
            <color indexed="81"/>
            <rFont val="Tahoma"/>
            <family val="2"/>
            <charset val="238"/>
          </rPr>
          <t xml:space="preserve">
Součet zabavitelných částí mezd dlužníků - částek na splátky - z předchozích tabulek. 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  <charset val="238"/>
          </rPr>
          <t>Karel:</t>
        </r>
        <r>
          <rPr>
            <sz val="9"/>
            <color indexed="81"/>
            <rFont val="Tahoma"/>
            <family val="2"/>
            <charset val="238"/>
          </rPr>
          <t xml:space="preserve">
Součet příspěvků poskytovaných třetí osobou z předchozích tabulek.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Součet částek výživného, které je povinen IS hradit za dlužníka z předchozích tabulek.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Odměna IS. Proveď kontrolu. Původně je přednastavena vč. DPH a pouze za jednoho z manželů.</t>
        </r>
      </text>
    </comment>
  </commentList>
</comments>
</file>

<file path=xl/comments5.xml><?xml version="1.0" encoding="utf-8"?>
<comments xmlns="http://schemas.openxmlformats.org/spreadsheetml/2006/main">
  <authors>
    <author>Mgr. Karel Touschek</author>
    <author>Karel</author>
    <author>karel.touschek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 této buňce se sčítají přihlášení nezajištěné pohledávky obou manželů z předchozích listů, pokud jsou větší než 0,--Kč
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Zůstatek příjmu - nezabavitelná část - součet z předchozích listů zvýšený o rozdíl mezi splátkou vypočtenou a sníženou.</t>
        </r>
      </text>
    </comment>
    <comment ref="B10" authorId="1" shapeId="0">
      <text>
        <r>
          <rPr>
            <b/>
            <sz val="9"/>
            <color indexed="81"/>
            <rFont val="Tahoma"/>
            <family val="2"/>
            <charset val="238"/>
          </rPr>
          <t>Karel:</t>
        </r>
        <r>
          <rPr>
            <sz val="9"/>
            <color indexed="81"/>
            <rFont val="Tahoma"/>
            <family val="2"/>
            <charset val="238"/>
          </rPr>
          <t xml:space="preserve">
Vlož požadovanou - plánovanou -  splátku bez ohledu na výpočty shora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Automaticky se z listu zadání vkládá částka výživného, které je povinen IS hradit za dlužníka.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výši odměny a nákladů IS vč. DPH.</t>
        </r>
      </text>
    </comment>
    <comment ref="G16" authorId="2" shapeId="0">
      <text>
        <r>
          <rPr>
            <b/>
            <sz val="9"/>
            <color indexed="81"/>
            <rFont val="Tahoma"/>
            <family val="2"/>
            <charset val="238"/>
          </rPr>
          <t>karel.touschek:</t>
        </r>
        <r>
          <rPr>
            <sz val="9"/>
            <color indexed="81"/>
            <rFont val="Tahoma"/>
            <family val="2"/>
            <charset val="238"/>
          </rPr>
          <t xml:space="preserve">
Standardně je nastaveno 60 splátek.</t>
        </r>
      </text>
    </comment>
    <comment ref="E18" authorId="2" shapeId="0">
      <text>
        <r>
          <rPr>
            <b/>
            <sz val="9"/>
            <color indexed="81"/>
            <rFont val="Tahoma"/>
            <family val="2"/>
            <charset val="238"/>
          </rPr>
          <t>karel.touschek:</t>
        </r>
        <r>
          <rPr>
            <sz val="9"/>
            <color indexed="81"/>
            <rFont val="Tahoma"/>
            <family val="2"/>
            <charset val="238"/>
          </rPr>
          <t xml:space="preserve">
Pomocník je nastaven na 60 splátek. Pro jiný počet splátek je nutno upravit vzorec.</t>
        </r>
      </text>
    </comment>
  </commentList>
</comments>
</file>

<file path=xl/comments6.xml><?xml version="1.0" encoding="utf-8"?>
<comments xmlns="http://schemas.openxmlformats.org/spreadsheetml/2006/main">
  <authors>
    <author>Mgr. Karel Touschek</author>
    <author>Karel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čistý příjem v období 6 měsíců před přezkumem.</t>
        </r>
      </text>
    </comment>
    <comment ref="E3" authorId="1" shapeId="0">
      <text>
        <r>
          <rPr>
            <b/>
            <sz val="8"/>
            <color indexed="81"/>
            <rFont val="Tahoma"/>
            <family val="2"/>
            <charset val="238"/>
          </rPr>
          <t>Karel:</t>
        </r>
        <r>
          <rPr>
            <sz val="8"/>
            <color indexed="81"/>
            <rFont val="Tahoma"/>
            <family val="2"/>
            <charset val="238"/>
          </rPr>
          <t xml:space="preserve">
Vložit číslici odpovídající počtu měsíců ve výpočtu průměru.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Mgr. Karel Touschek:</t>
        </r>
        <r>
          <rPr>
            <sz val="9"/>
            <color indexed="81"/>
            <rFont val="Tahoma"/>
            <family val="2"/>
            <charset val="238"/>
          </rPr>
          <t xml:space="preserve">
Vložit výši mimořádných odměn, např. plat na Vánoce, na dovolenou.</t>
        </r>
      </text>
    </comment>
  </commentList>
</comments>
</file>

<file path=xl/comments7.xml><?xml version="1.0" encoding="utf-8"?>
<comments xmlns="http://schemas.openxmlformats.org/spreadsheetml/2006/main">
  <authors>
    <author>.</author>
  </authors>
  <commentList>
    <comment ref="L3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Vložit vzdálenost v km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O3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Vložit vzdálenost v km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4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Vložit počet jízd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O4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Vložit počet jízd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5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Vložit cenu PHM za 1 litr</t>
        </r>
      </text>
    </comment>
    <comment ref="O5" authorId="0" shapeId="0">
      <text>
        <r>
          <rPr>
            <b/>
            <sz val="12"/>
            <color indexed="81"/>
            <rFont val="Times New Roman"/>
            <family val="1"/>
            <charset val="238"/>
          </rPr>
          <t>Vložit cenu PHM za 1 litr</t>
        </r>
      </text>
    </comment>
  </commentList>
</comments>
</file>

<file path=xl/sharedStrings.xml><?xml version="1.0" encoding="utf-8"?>
<sst xmlns="http://schemas.openxmlformats.org/spreadsheetml/2006/main" count="163" uniqueCount="104">
  <si>
    <t>Čistý příjem</t>
  </si>
  <si>
    <t>domácnost + dlužník</t>
  </si>
  <si>
    <t>děti či jiné osoby             počet</t>
  </si>
  <si>
    <t>děti či jiné osoby           částka</t>
  </si>
  <si>
    <t>Celkem nezabavitelná část</t>
  </si>
  <si>
    <t>Zbývající část čisté mzdy</t>
  </si>
  <si>
    <t>Zabavitelná část</t>
  </si>
  <si>
    <t>Odměna a náklady správce</t>
  </si>
  <si>
    <t>Měsíční částka připadající na splátky</t>
  </si>
  <si>
    <t>děti či jiné osoby           celkem</t>
  </si>
  <si>
    <t>Výpočet oddlužení</t>
  </si>
  <si>
    <t>Přihlášené pohledávky celkem</t>
  </si>
  <si>
    <t>Návod:</t>
  </si>
  <si>
    <t>Předpokládaná výše uspokojení v %</t>
  </si>
  <si>
    <t>Mzda</t>
  </si>
  <si>
    <t>Neomezeně srazitelná část</t>
  </si>
  <si>
    <t>Zabavitelné třetiny</t>
  </si>
  <si>
    <t>Součet srazitelných částek</t>
  </si>
  <si>
    <t>Doba splácení v měsících, pokud uspokojení přesahuje 100%</t>
  </si>
  <si>
    <t>průměrný příjem bez odměn</t>
  </si>
  <si>
    <t>Výživné hrazené IS</t>
  </si>
  <si>
    <t>Průměrný příjem</t>
  </si>
  <si>
    <t>Mimořádné odměny</t>
  </si>
  <si>
    <t>Výpočet průměrného příjmu dlužníka za posledních 6 měsíců</t>
  </si>
  <si>
    <t xml:space="preserve">Dlužník:  </t>
  </si>
  <si>
    <t>Zadávací list</t>
  </si>
  <si>
    <t>Jméno navrhovatele</t>
  </si>
  <si>
    <t>Jméno manžela/ky/</t>
  </si>
  <si>
    <t>čistá mzda</t>
  </si>
  <si>
    <t>počet vyživ. osob</t>
  </si>
  <si>
    <t>společné označení</t>
  </si>
  <si>
    <t>Výše závazků navrh.</t>
  </si>
  <si>
    <t>Výše závazků manžela(ky)</t>
  </si>
  <si>
    <t>Výše spol. závazků</t>
  </si>
  <si>
    <t>BEZ DUPLICIT!!!!!!!</t>
  </si>
  <si>
    <t>Mzda (součet zbytku mezd)</t>
  </si>
  <si>
    <t>Zabavitelná část u obou manželů</t>
  </si>
  <si>
    <t>důchod nebo jiný příjem</t>
  </si>
  <si>
    <t>příjem celkem</t>
  </si>
  <si>
    <t>Zabavitelná část/Plánovaná splátka</t>
  </si>
  <si>
    <t>Příspěvek na spl. od 3 osoby</t>
  </si>
  <si>
    <t>Příjmy z pracovního poměru a důchody</t>
  </si>
  <si>
    <t xml:space="preserve">Příspěvek na splátky od 3 osoby </t>
  </si>
  <si>
    <t>celkem</t>
  </si>
  <si>
    <t>počet měsíců</t>
  </si>
  <si>
    <t>Tabulka slouží k výpočtu snížených splátek, nebo výpočtu minimální splátky, aby byla splněna zákonná hranice 30%.
Vyplň do řádku plánovaná splátka čásku, jíž by měl dlužník platit</t>
  </si>
  <si>
    <t>Část příjmu, jež dlužníkům zůstane</t>
  </si>
  <si>
    <t>Proveď kontrolu zadaných (oranžových) polí.</t>
  </si>
  <si>
    <t>Odměna IS vč. DPH</t>
  </si>
  <si>
    <t>Odměna IS za manžele</t>
  </si>
  <si>
    <t xml:space="preserve">Tabulka automaticky načítá kladné hodnoty z předchozích tabulek. Měnit lze pouze odměnu IS, pokud by mu náležela v jiné výši, než je uvedeno na listu zadání. </t>
  </si>
  <si>
    <t>odměna</t>
  </si>
  <si>
    <t>pauš. náklady</t>
  </si>
  <si>
    <t>zvýš. odměny IS za manžele či jiného důvodu</t>
  </si>
  <si>
    <t>NÁVOD:
Vyplňte údaje v zelených polích, pokud pro ně existují  podklady, či mají pro výpočet být vyplněny.
Do společných závazků vkládat společnou částku bez duplicit.</t>
  </si>
  <si>
    <t>DPH</t>
  </si>
  <si>
    <t>odměna vč. DPH</t>
  </si>
  <si>
    <t>1. jízda km</t>
  </si>
  <si>
    <t>počet jízd</t>
  </si>
  <si>
    <t>Cestovné</t>
  </si>
  <si>
    <t>cena benz.</t>
  </si>
  <si>
    <t>základ</t>
  </si>
  <si>
    <t>Součet</t>
  </si>
  <si>
    <t>základ celkem</t>
  </si>
  <si>
    <t>® na 100 km</t>
  </si>
  <si>
    <t>Náklady celkem</t>
  </si>
  <si>
    <t>benzín na km</t>
  </si>
  <si>
    <t>za benzín celkem</t>
  </si>
  <si>
    <t>Po zaokrouhlení</t>
  </si>
  <si>
    <t>jedna cesta</t>
  </si>
  <si>
    <t>celkem cesty</t>
  </si>
  <si>
    <t>kontrolní součet</t>
  </si>
  <si>
    <t>cestovné k soudu a zpět</t>
  </si>
  <si>
    <r>
      <rPr>
        <b/>
        <u/>
        <sz val="11"/>
        <color theme="1"/>
        <rFont val="Calibri"/>
        <family val="2"/>
        <charset val="238"/>
        <scheme val="minor"/>
      </rPr>
      <t xml:space="preserve">Běžné výživné
</t>
    </r>
    <r>
      <rPr>
        <sz val="11"/>
        <color theme="1"/>
        <rFont val="Calibri"/>
        <family val="2"/>
        <charset val="238"/>
        <scheme val="minor"/>
      </rPr>
      <t xml:space="preserve"> placené IS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</si>
  <si>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DLUŽNÉ výživné
</t>
    </r>
    <r>
      <rPr>
        <sz val="11"/>
        <color theme="1"/>
        <rFont val="Calibri"/>
        <family val="2"/>
        <charset val="238"/>
        <scheme val="minor"/>
      </rPr>
      <t xml:space="preserve"> placené IS</t>
    </r>
  </si>
  <si>
    <t>Příspěvek ke splátkám</t>
  </si>
  <si>
    <t>DPH 21%</t>
  </si>
  <si>
    <t>manželé</t>
  </si>
  <si>
    <t>Průměrné ceny pohonných hmot jsou následující:</t>
  </si>
  <si>
    <t>Kolik procent má dlužník splnit?</t>
  </si>
  <si>
    <t>Pomocník:</t>
  </si>
  <si>
    <t>Výše splátky</t>
  </si>
  <si>
    <t>Čistý příjem obou manželů</t>
  </si>
  <si>
    <t>Bude potřeba příspěvek? Kolik?</t>
  </si>
  <si>
    <t>životní minimum=2/3 u částky  L5</t>
  </si>
  <si>
    <t>Na vyživovanou osobu = 1/4 z L1</t>
  </si>
  <si>
    <t>Manželům je možno srazit</t>
  </si>
  <si>
    <t>jedna třetina  z L5 na poměření srážek</t>
  </si>
  <si>
    <t>Součet životního minima 3.410,--Kč a nákladů na bydlení 5.822,--Kč (nařízení vlády 449/2016)</t>
  </si>
  <si>
    <t>Oddlužení 2018</t>
  </si>
  <si>
    <t>Počet přezk. přihlášek</t>
  </si>
  <si>
    <t>Odměna za přihlášky</t>
  </si>
  <si>
    <t>Dlužník uhradí za 5 let (sníženo o odměnu IS za přihlášky)</t>
  </si>
  <si>
    <t>Odměna za přezk. přihl.</t>
  </si>
  <si>
    <t>a) 30,50 Kč u benzinu automobilového 95 oktanů,</t>
  </si>
  <si>
    <t>b) 32,80 Kč u benzinu automobilového 98 oktanů,</t>
  </si>
  <si>
    <t>c) 29,80 Kč u motorové nafty.</t>
  </si>
  <si>
    <t xml:space="preserve">Výše sazby základní náhrady za používání osobních motorových vozidel se od 1. ledna 2018 vyhláškou č. 463/2017 Sb , a činí 4,00 Kč. </t>
  </si>
  <si>
    <t>Přidáno políčko za zpracování návrhu. Zobrazí se pouze u prvého z manželů.</t>
  </si>
  <si>
    <t>Upravy 2018:
Nově vloženo zaškrtávací pole pro manžele- automatické zvýšení o 50%.
Ve výpočtech je pro tento případ zadáváno u každého z manželů 50% ze zvýšené částky.
Do tabulky "Přímé zadání splátky" je přidán pomocník pro zjednodušení výpočtu splátky - automaticky je nastaven na 30%.
Pokud potřebujete jinou procentní sazbu změnte ji přepsáním. Současně se Vám pod minimální splátkou objeví, jak vysoký by měl být případný příspěvek.
Přidáno políčko na počet přihlášek - zobrazí se ve výpočtu 250,- Kč + DPH za každou přihlášku. Přihlášky se zobrazí jen u jednoho (prvého) z manželů.
Zobrazeno políčko nákladů za posudek. Zobrazí se jen u prvého z manželů.</t>
  </si>
  <si>
    <t>Odměna za sepis</t>
  </si>
  <si>
    <t>Náklady na posudek</t>
  </si>
  <si>
    <t>Počet splátek pro výpočet</t>
  </si>
  <si>
    <t>Vyúčtování nákladů IS za období od zjištění úpadku do schválení oddlužení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</si>
</sst>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Kč&quot;;[Red]\-#,##0.0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0.00000%"/>
    <numFmt numFmtId="165" formatCode="#,##0\ &quot;km&quot;;\-#,##0\ &quot;Kč&quot;"/>
    <numFmt numFmtId="166" formatCode="#,##0\ \ &quot;jízd&quot;;\-#,##0\ &quot;Kč&quot;"/>
    <numFmt numFmtId="167" formatCode="#,##0.00_ ;\-#,##0.00\ "/>
  </numFmts>
  <fonts count="32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"/>
      <color theme="1"/>
      <name val="Calibri"/>
      <family val="2"/>
      <charset val="238"/>
      <scheme val="minor"/>
    </font>
    <font>
      <b/>
      <sz val="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indexed="8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u/>
      <sz val="12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indexed="8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5">
    <xf numFmtId="0" fontId="0" fillId="0" borderId="0" xfId="0"/>
    <xf numFmtId="0" fontId="8" fillId="0" borderId="0" xfId="0" applyFont="1"/>
    <xf numFmtId="0" fontId="8" fillId="0" borderId="1" xfId="0" applyFont="1" applyBorder="1"/>
    <xf numFmtId="44" fontId="8" fillId="0" borderId="1" xfId="1" applyFont="1" applyBorder="1"/>
    <xf numFmtId="0" fontId="15" fillId="0" borderId="1" xfId="0" applyFont="1" applyBorder="1" applyAlignment="1">
      <alignment horizontal="center"/>
    </xf>
    <xf numFmtId="44" fontId="16" fillId="5" borderId="1" xfId="1" applyFont="1" applyFill="1" applyBorder="1" applyAlignment="1">
      <alignment horizontal="right"/>
    </xf>
    <xf numFmtId="44" fontId="8" fillId="5" borderId="1" xfId="1" applyFont="1" applyFill="1" applyBorder="1" applyAlignment="1">
      <alignment horizontal="right"/>
    </xf>
    <xf numFmtId="44" fontId="17" fillId="5" borderId="1" xfId="1" applyFont="1" applyFill="1" applyBorder="1" applyAlignment="1">
      <alignment horizontal="right"/>
    </xf>
    <xf numFmtId="44" fontId="8" fillId="0" borderId="1" xfId="1" applyFont="1" applyBorder="1" applyAlignment="1">
      <alignment horizontal="right"/>
    </xf>
    <xf numFmtId="44" fontId="8" fillId="5" borderId="1" xfId="1" applyFont="1" applyFill="1" applyBorder="1" applyAlignment="1" applyProtection="1">
      <alignment horizontal="right"/>
    </xf>
    <xf numFmtId="44" fontId="8" fillId="2" borderId="1" xfId="1" applyFont="1" applyFill="1" applyBorder="1" applyAlignment="1">
      <alignment horizontal="right"/>
    </xf>
    <xf numFmtId="44" fontId="16" fillId="0" borderId="1" xfId="1" applyFont="1" applyBorder="1" applyAlignment="1">
      <alignment horizontal="right"/>
    </xf>
    <xf numFmtId="44" fontId="18" fillId="0" borderId="1" xfId="1" applyFont="1" applyBorder="1" applyAlignment="1">
      <alignment horizontal="right"/>
    </xf>
    <xf numFmtId="164" fontId="18" fillId="0" borderId="1" xfId="2" applyNumberFormat="1" applyFont="1" applyBorder="1"/>
    <xf numFmtId="0" fontId="8" fillId="0" borderId="1" xfId="0" applyFont="1" applyBorder="1" applyAlignment="1">
      <alignment vertical="center" wrapText="1"/>
    </xf>
    <xf numFmtId="1" fontId="18" fillId="0" borderId="1" xfId="1" applyNumberFormat="1" applyFont="1" applyBorder="1" applyAlignment="1">
      <alignment horizontal="center" vertical="center"/>
    </xf>
    <xf numFmtId="44" fontId="8" fillId="4" borderId="1" xfId="1" applyFont="1" applyFill="1" applyBorder="1" applyAlignment="1" applyProtection="1">
      <alignment horizontal="right"/>
    </xf>
    <xf numFmtId="0" fontId="8" fillId="0" borderId="0" xfId="0" applyFont="1" applyAlignment="1">
      <alignment vertical="top" wrapText="1"/>
    </xf>
    <xf numFmtId="44" fontId="8" fillId="0" borderId="0" xfId="0" applyNumberFormat="1" applyFont="1"/>
    <xf numFmtId="44" fontId="18" fillId="0" borderId="0" xfId="1" applyFont="1"/>
    <xf numFmtId="44" fontId="8" fillId="0" borderId="0" xfId="1" applyFont="1"/>
    <xf numFmtId="0" fontId="8" fillId="0" borderId="0" xfId="0" applyFont="1" applyAlignment="1">
      <alignment horizontal="center"/>
    </xf>
    <xf numFmtId="44" fontId="8" fillId="2" borderId="1" xfId="1" applyFont="1" applyFill="1" applyBorder="1"/>
    <xf numFmtId="0" fontId="8" fillId="2" borderId="1" xfId="0" applyFont="1" applyFill="1" applyBorder="1" applyAlignment="1">
      <alignment horizontal="center"/>
    </xf>
    <xf numFmtId="0" fontId="17" fillId="0" borderId="0" xfId="0" applyFont="1"/>
    <xf numFmtId="0" fontId="8" fillId="0" borderId="0" xfId="0" applyFont="1"/>
    <xf numFmtId="44" fontId="8" fillId="0" borderId="0" xfId="0" applyNumberFormat="1" applyFont="1" applyAlignment="1">
      <alignment vertical="top" wrapText="1"/>
    </xf>
    <xf numFmtId="49" fontId="8" fillId="0" borderId="0" xfId="0" applyNumberFormat="1" applyFont="1"/>
    <xf numFmtId="44" fontId="8" fillId="3" borderId="0" xfId="1" applyFont="1" applyFill="1"/>
    <xf numFmtId="44" fontId="8" fillId="0" borderId="0" xfId="1" applyFont="1" applyFill="1"/>
    <xf numFmtId="44" fontId="13" fillId="0" borderId="0" xfId="1" applyFont="1"/>
    <xf numFmtId="0" fontId="20" fillId="0" borderId="1" xfId="0" applyFont="1" applyBorder="1"/>
    <xf numFmtId="44" fontId="21" fillId="0" borderId="1" xfId="1" applyFont="1" applyBorder="1"/>
    <xf numFmtId="0" fontId="20" fillId="0" borderId="0" xfId="0" applyFont="1"/>
    <xf numFmtId="0" fontId="20" fillId="0" borderId="0" xfId="0" applyFont="1" applyAlignment="1">
      <alignment vertical="top" wrapText="1"/>
    </xf>
    <xf numFmtId="44" fontId="17" fillId="0" borderId="1" xfId="1" applyFont="1" applyBorder="1" applyAlignment="1">
      <alignment horizontal="right"/>
    </xf>
    <xf numFmtId="0" fontId="8" fillId="0" borderId="4" xfId="0" applyFont="1" applyBorder="1"/>
    <xf numFmtId="44" fontId="8" fillId="0" borderId="5" xfId="1" applyFont="1" applyBorder="1"/>
    <xf numFmtId="0" fontId="15" fillId="0" borderId="4" xfId="0" applyFont="1" applyBorder="1" applyAlignment="1">
      <alignment horizontal="center"/>
    </xf>
    <xf numFmtId="44" fontId="8" fillId="0" borderId="5" xfId="1" applyFont="1" applyBorder="1" applyAlignment="1">
      <alignment horizontal="right"/>
    </xf>
    <xf numFmtId="44" fontId="17" fillId="0" borderId="5" xfId="1" applyFont="1" applyBorder="1" applyAlignment="1">
      <alignment horizontal="right"/>
    </xf>
    <xf numFmtId="0" fontId="20" fillId="0" borderId="4" xfId="0" applyFont="1" applyBorder="1"/>
    <xf numFmtId="44" fontId="21" fillId="0" borderId="5" xfId="1" applyFont="1" applyBorder="1"/>
    <xf numFmtId="0" fontId="8" fillId="0" borderId="0" xfId="0" applyFont="1"/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/>
    <xf numFmtId="0" fontId="8" fillId="0" borderId="10" xfId="0" applyFont="1" applyBorder="1"/>
    <xf numFmtId="1" fontId="8" fillId="3" borderId="0" xfId="1" applyNumberFormat="1" applyFont="1" applyFill="1" applyAlignment="1">
      <alignment horizontal="center"/>
    </xf>
    <xf numFmtId="0" fontId="23" fillId="0" borderId="1" xfId="0" applyFont="1" applyBorder="1"/>
    <xf numFmtId="0" fontId="8" fillId="0" borderId="13" xfId="0" applyFont="1" applyBorder="1"/>
    <xf numFmtId="44" fontId="16" fillId="6" borderId="1" xfId="1" applyFont="1" applyFill="1" applyBorder="1" applyAlignment="1">
      <alignment horizontal="right"/>
    </xf>
    <xf numFmtId="44" fontId="17" fillId="6" borderId="1" xfId="1" applyFont="1" applyFill="1" applyBorder="1" applyAlignment="1">
      <alignment horizontal="right"/>
    </xf>
    <xf numFmtId="1" fontId="8" fillId="6" borderId="1" xfId="1" applyNumberFormat="1" applyFont="1" applyFill="1" applyBorder="1" applyAlignment="1">
      <alignment horizontal="right" indent="1"/>
    </xf>
    <xf numFmtId="44" fontId="8" fillId="6" borderId="1" xfId="1" applyFont="1" applyFill="1" applyBorder="1" applyAlignment="1">
      <alignment horizontal="right"/>
    </xf>
    <xf numFmtId="44" fontId="8" fillId="6" borderId="5" xfId="1" applyFont="1" applyFill="1" applyBorder="1" applyAlignment="1">
      <alignment horizontal="right"/>
    </xf>
    <xf numFmtId="44" fontId="17" fillId="6" borderId="5" xfId="1" applyFont="1" applyFill="1" applyBorder="1" applyAlignment="1">
      <alignment horizontal="right"/>
    </xf>
    <xf numFmtId="1" fontId="8" fillId="6" borderId="5" xfId="1" applyNumberFormat="1" applyFont="1" applyFill="1" applyBorder="1" applyAlignment="1">
      <alignment horizontal="right" indent="1"/>
    </xf>
    <xf numFmtId="0" fontId="8" fillId="5" borderId="1" xfId="0" applyFont="1" applyFill="1" applyBorder="1"/>
    <xf numFmtId="9" fontId="8" fillId="2" borderId="1" xfId="2" applyFont="1" applyFill="1" applyBorder="1" applyAlignment="1">
      <alignment horizontal="right" indent="1"/>
    </xf>
    <xf numFmtId="0" fontId="8" fillId="0" borderId="12" xfId="0" applyFont="1" applyBorder="1"/>
    <xf numFmtId="0" fontId="0" fillId="0" borderId="1" xfId="0" applyBorder="1"/>
    <xf numFmtId="165" fontId="28" fillId="7" borderId="1" xfId="0" applyNumberFormat="1" applyFont="1" applyFill="1" applyBorder="1"/>
    <xf numFmtId="0" fontId="7" fillId="0" borderId="15" xfId="0" applyFont="1" applyBorder="1"/>
    <xf numFmtId="166" fontId="28" fillId="7" borderId="1" xfId="0" applyNumberFormat="1" applyFont="1" applyFill="1" applyBorder="1"/>
    <xf numFmtId="0" fontId="26" fillId="0" borderId="16" xfId="0" applyFont="1" applyBorder="1" applyAlignment="1">
      <alignment horizontal="left"/>
    </xf>
    <xf numFmtId="0" fontId="7" fillId="0" borderId="17" xfId="0" applyFont="1" applyBorder="1"/>
    <xf numFmtId="42" fontId="26" fillId="0" borderId="17" xfId="0" applyNumberFormat="1" applyFont="1" applyBorder="1" applyAlignment="1">
      <alignment horizontal="right"/>
    </xf>
    <xf numFmtId="44" fontId="28" fillId="7" borderId="1" xfId="0" applyNumberFormat="1" applyFont="1" applyFill="1" applyBorder="1"/>
    <xf numFmtId="8" fontId="26" fillId="0" borderId="17" xfId="0" applyNumberFormat="1" applyFont="1" applyBorder="1" applyAlignment="1">
      <alignment horizontal="right"/>
    </xf>
    <xf numFmtId="44" fontId="28" fillId="0" borderId="1" xfId="0" applyNumberFormat="1" applyFont="1" applyBorder="1"/>
    <xf numFmtId="167" fontId="28" fillId="0" borderId="1" xfId="0" applyNumberFormat="1" applyFont="1" applyBorder="1"/>
    <xf numFmtId="0" fontId="29" fillId="0" borderId="16" xfId="0" applyFont="1" applyBorder="1" applyAlignment="1">
      <alignment horizontal="left"/>
    </xf>
    <xf numFmtId="0" fontId="24" fillId="0" borderId="17" xfId="0" applyFont="1" applyBorder="1"/>
    <xf numFmtId="8" fontId="29" fillId="0" borderId="17" xfId="0" applyNumberFormat="1" applyFont="1" applyBorder="1" applyAlignment="1">
      <alignment horizontal="right"/>
    </xf>
    <xf numFmtId="42" fontId="30" fillId="8" borderId="1" xfId="0" applyNumberFormat="1" applyFont="1" applyFill="1" applyBorder="1"/>
    <xf numFmtId="44" fontId="0" fillId="0" borderId="0" xfId="0" applyNumberFormat="1"/>
    <xf numFmtId="0" fontId="8" fillId="9" borderId="1" xfId="0" applyFont="1" applyFill="1" applyBorder="1" applyAlignment="1">
      <alignment horizontal="center"/>
    </xf>
    <xf numFmtId="9" fontId="8" fillId="0" borderId="0" xfId="2" applyFont="1" applyAlignment="1">
      <alignment horizontal="center"/>
    </xf>
    <xf numFmtId="0" fontId="13" fillId="0" borderId="0" xfId="0" applyFont="1"/>
    <xf numFmtId="0" fontId="0" fillId="0" borderId="0" xfId="0" applyNumberFormat="1"/>
    <xf numFmtId="44" fontId="18" fillId="0" borderId="0" xfId="0" applyNumberFormat="1" applyFont="1"/>
    <xf numFmtId="10" fontId="8" fillId="2" borderId="1" xfId="2" applyNumberFormat="1" applyFont="1" applyFill="1" applyBorder="1" applyAlignment="1">
      <alignment horizontal="right"/>
    </xf>
    <xf numFmtId="44" fontId="13" fillId="4" borderId="1" xfId="0" applyNumberFormat="1" applyFont="1" applyFill="1" applyBorder="1"/>
    <xf numFmtId="0" fontId="13" fillId="0" borderId="1" xfId="0" applyFont="1" applyBorder="1"/>
    <xf numFmtId="44" fontId="13" fillId="4" borderId="1" xfId="1" applyFont="1" applyFill="1" applyBorder="1"/>
    <xf numFmtId="44" fontId="20" fillId="0" borderId="1" xfId="1" applyFont="1" applyBorder="1" applyAlignment="1">
      <alignment horizontal="right"/>
    </xf>
    <xf numFmtId="44" fontId="20" fillId="0" borderId="5" xfId="1" applyFont="1" applyBorder="1" applyAlignment="1">
      <alignment horizontal="right"/>
    </xf>
    <xf numFmtId="0" fontId="6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1" applyNumberFormat="1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6" fillId="0" borderId="1" xfId="0" applyFont="1" applyBorder="1"/>
    <xf numFmtId="44" fontId="26" fillId="11" borderId="9" xfId="0" applyNumberFormat="1" applyFont="1" applyFill="1" applyBorder="1" applyAlignment="1">
      <alignment horizontal="right"/>
    </xf>
    <xf numFmtId="44" fontId="8" fillId="0" borderId="0" xfId="1" applyFont="1" applyFill="1" applyBorder="1"/>
    <xf numFmtId="0" fontId="8" fillId="0" borderId="0" xfId="0" applyFont="1" applyAlignment="1">
      <alignment horizontal="left" vertical="top" wrapText="1"/>
    </xf>
    <xf numFmtId="0" fontId="5" fillId="0" borderId="0" xfId="0" applyFont="1" applyFill="1" applyBorder="1"/>
    <xf numFmtId="0" fontId="2" fillId="0" borderId="0" xfId="0" applyFont="1"/>
    <xf numFmtId="0" fontId="8" fillId="0" borderId="0" xfId="0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/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/>
    </xf>
    <xf numFmtId="44" fontId="5" fillId="2" borderId="1" xfId="1" applyFont="1" applyFill="1" applyBorder="1"/>
    <xf numFmtId="0" fontId="2" fillId="0" borderId="1" xfId="0" applyFont="1" applyBorder="1"/>
    <xf numFmtId="0" fontId="5" fillId="2" borderId="1" xfId="0" applyFont="1" applyFill="1" applyBorder="1" applyAlignment="1">
      <alignment horizontal="right" indent="1"/>
    </xf>
    <xf numFmtId="0" fontId="2" fillId="0" borderId="1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2" fillId="10" borderId="0" xfId="0" applyFont="1" applyFill="1" applyAlignment="1">
      <alignment horizontal="left" vertical="top" wrapText="1"/>
    </xf>
    <xf numFmtId="0" fontId="3" fillId="10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2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6" fillId="0" borderId="18" xfId="0" applyFont="1" applyBorder="1" applyAlignment="1">
      <alignment horizontal="left" indent="1"/>
    </xf>
    <xf numFmtId="0" fontId="26" fillId="0" borderId="0" xfId="0" applyFont="1" applyAlignment="1">
      <alignment horizontal="left" indent="1"/>
    </xf>
    <xf numFmtId="0" fontId="26" fillId="0" borderId="18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7" fillId="0" borderId="0" xfId="0" applyFont="1"/>
  </cellXfs>
  <cellStyles count="3">
    <cellStyle name="Měna" xfId="1" builtinId="4"/>
    <cellStyle name="Normální" xfId="0" builtinId="0"/>
    <cellStyle name="Procenta" xfId="2" builtinId="5"/>
  </cellStyles>
  <dxfs count="8">
    <dxf>
      <font>
        <color rgb="FFFF000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A2A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/>
  <dimension ref="A1:N20"/>
  <sheetViews>
    <sheetView tabSelected="1" zoomScaleNormal="100" workbookViewId="0">
      <selection activeCell="J5" sqref="J5"/>
    </sheetView>
  </sheetViews>
  <sheetFormatPr defaultColWidth="8.85546875" defaultRowHeight="15" x14ac:dyDescent="0.25"/>
  <cols>
    <col min="1" max="1" width="24.28515625" style="1" customWidth="1"/>
    <col min="2" max="2" width="28.42578125" style="1" customWidth="1"/>
    <col min="3" max="3" width="18.42578125" style="1" customWidth="1"/>
    <col min="4" max="4" width="19.5703125" style="1" customWidth="1"/>
    <col min="5" max="5" width="18.85546875" style="1" customWidth="1"/>
    <col min="6" max="6" width="0.7109375" style="1" customWidth="1"/>
    <col min="7" max="7" width="13" style="1" customWidth="1"/>
    <col min="8" max="9" width="17.5703125" style="43" customWidth="1"/>
    <col min="10" max="10" width="10.85546875" style="1" customWidth="1"/>
    <col min="11" max="11" width="8.28515625" style="1" customWidth="1"/>
    <col min="12" max="12" width="0.140625" style="20" customWidth="1"/>
    <col min="13" max="13" width="11.7109375" style="1" hidden="1" customWidth="1"/>
    <col min="14" max="14" width="10.7109375" style="1" hidden="1" customWidth="1"/>
    <col min="15" max="16384" width="8.85546875" style="1"/>
  </cols>
  <sheetData>
    <row r="1" spans="1:13" s="43" customFormat="1" ht="28.5" x14ac:dyDescent="0.45">
      <c r="A1" s="115" t="s">
        <v>25</v>
      </c>
      <c r="B1" s="115"/>
      <c r="C1" s="115"/>
      <c r="D1" s="115"/>
      <c r="E1" s="115"/>
      <c r="F1" s="115"/>
      <c r="G1" s="115"/>
      <c r="H1" s="115"/>
      <c r="I1" s="115"/>
      <c r="J1" s="115"/>
      <c r="L1" s="20"/>
    </row>
    <row r="2" spans="1:13" x14ac:dyDescent="0.25">
      <c r="A2" s="80" t="s">
        <v>89</v>
      </c>
    </row>
    <row r="3" spans="1:13" s="25" customFormat="1" ht="14.45" customHeight="1" x14ac:dyDescent="0.25">
      <c r="B3" s="44"/>
      <c r="C3" s="116" t="s">
        <v>41</v>
      </c>
      <c r="D3" s="117"/>
      <c r="E3" s="118"/>
      <c r="F3" s="47"/>
      <c r="G3" s="119" t="s">
        <v>75</v>
      </c>
      <c r="H3" s="119" t="s">
        <v>73</v>
      </c>
      <c r="I3" s="119" t="s">
        <v>74</v>
      </c>
      <c r="J3" s="121" t="s">
        <v>29</v>
      </c>
      <c r="L3" s="20">
        <f>INT(L5/3*2*100)/100</f>
        <v>6225.33</v>
      </c>
      <c r="M3" s="89" t="s">
        <v>84</v>
      </c>
    </row>
    <row r="4" spans="1:13" ht="30" x14ac:dyDescent="0.25">
      <c r="C4" s="45" t="s">
        <v>28</v>
      </c>
      <c r="D4" s="46" t="s">
        <v>37</v>
      </c>
      <c r="E4" s="45" t="s">
        <v>38</v>
      </c>
      <c r="F4" s="48"/>
      <c r="G4" s="120"/>
      <c r="H4" s="120"/>
      <c r="I4" s="120"/>
      <c r="J4" s="122"/>
      <c r="L4" s="20">
        <f>INT(L3/4*100)/100</f>
        <v>1556.33</v>
      </c>
      <c r="M4" s="89" t="s">
        <v>85</v>
      </c>
    </row>
    <row r="5" spans="1:13" x14ac:dyDescent="0.25">
      <c r="A5" s="1" t="s">
        <v>26</v>
      </c>
      <c r="B5" s="92"/>
      <c r="C5" s="22"/>
      <c r="D5" s="22"/>
      <c r="E5" s="22">
        <f>C5+D5</f>
        <v>0</v>
      </c>
      <c r="G5" s="22"/>
      <c r="H5" s="22"/>
      <c r="I5" s="22"/>
      <c r="J5" s="23"/>
      <c r="L5" s="20">
        <f>3410+5928</f>
        <v>9338</v>
      </c>
      <c r="M5" s="94" t="s">
        <v>88</v>
      </c>
    </row>
    <row r="6" spans="1:13" x14ac:dyDescent="0.25">
      <c r="A6" s="1" t="s">
        <v>27</v>
      </c>
      <c r="B6" s="92"/>
      <c r="C6" s="22"/>
      <c r="D6" s="22"/>
      <c r="E6" s="22">
        <f t="shared" ref="E6" si="0">C6+D6</f>
        <v>0</v>
      </c>
      <c r="F6" s="61"/>
      <c r="G6" s="22"/>
      <c r="H6" s="22"/>
      <c r="I6" s="22"/>
      <c r="J6" s="23"/>
      <c r="L6" s="20">
        <f>(INT(L5/3*100))/100</f>
        <v>3112.66</v>
      </c>
      <c r="M6" s="91" t="s">
        <v>87</v>
      </c>
    </row>
    <row r="7" spans="1:13" x14ac:dyDescent="0.25">
      <c r="A7" s="1" t="s">
        <v>30</v>
      </c>
      <c r="B7" s="92"/>
      <c r="C7" s="43"/>
      <c r="D7" s="43"/>
      <c r="E7" s="43"/>
      <c r="F7" s="43"/>
      <c r="G7" s="43"/>
      <c r="I7" s="78">
        <v>60</v>
      </c>
      <c r="M7" s="89"/>
    </row>
    <row r="8" spans="1:13" s="43" customFormat="1" x14ac:dyDescent="0.25">
      <c r="B8" s="103"/>
      <c r="J8" s="105"/>
      <c r="L8" s="20"/>
      <c r="M8" s="89"/>
    </row>
    <row r="9" spans="1:13" s="43" customFormat="1" x14ac:dyDescent="0.25">
      <c r="A9" s="104" t="s">
        <v>90</v>
      </c>
      <c r="B9" s="113"/>
      <c r="M9" s="96">
        <v>2017</v>
      </c>
    </row>
    <row r="10" spans="1:13" x14ac:dyDescent="0.25">
      <c r="A10" s="104" t="s">
        <v>100</v>
      </c>
      <c r="B10" s="111"/>
      <c r="C10" s="43"/>
      <c r="D10" s="43"/>
      <c r="E10" s="21" t="s">
        <v>56</v>
      </c>
      <c r="F10" s="43"/>
      <c r="G10" s="21" t="s">
        <v>51</v>
      </c>
      <c r="H10" s="21" t="s">
        <v>52</v>
      </c>
      <c r="I10" s="21" t="s">
        <v>55</v>
      </c>
      <c r="M10" s="20">
        <v>6154.67</v>
      </c>
    </row>
    <row r="11" spans="1:13" x14ac:dyDescent="0.25">
      <c r="A11" s="104" t="s">
        <v>101</v>
      </c>
      <c r="B11" s="111"/>
      <c r="D11" s="59" t="s">
        <v>48</v>
      </c>
      <c r="E11" s="22">
        <f>(G11+H11)*(I11+1)</f>
        <v>1089</v>
      </c>
      <c r="F11" s="45"/>
      <c r="G11" s="22">
        <v>750</v>
      </c>
      <c r="H11" s="22">
        <v>150</v>
      </c>
      <c r="I11" s="79">
        <v>0.21</v>
      </c>
      <c r="M11" s="20">
        <v>1538.67</v>
      </c>
    </row>
    <row r="12" spans="1:13" x14ac:dyDescent="0.25">
      <c r="D12" s="127" t="s">
        <v>53</v>
      </c>
      <c r="E12" s="128"/>
      <c r="F12" s="21"/>
      <c r="G12" s="60">
        <f>IF(J12="x",50%,(IF(J12="X",50,0)))</f>
        <v>0</v>
      </c>
      <c r="H12" s="60">
        <f>G12</f>
        <v>0</v>
      </c>
      <c r="I12" s="21" t="s">
        <v>77</v>
      </c>
      <c r="J12" s="106"/>
      <c r="M12" s="20">
        <v>9232</v>
      </c>
    </row>
    <row r="13" spans="1:13" ht="15.75" x14ac:dyDescent="0.25">
      <c r="A13" s="1" t="s">
        <v>31</v>
      </c>
      <c r="B13" s="22"/>
      <c r="C13" s="24" t="s">
        <v>34</v>
      </c>
      <c r="D13" s="59" t="s">
        <v>49</v>
      </c>
      <c r="E13" s="22">
        <f>IF((G13+H13)*(I13+1)&gt;1089,(G13+H13)*(I13+1)+0.5,(G13+H13)*(I13+1))</f>
        <v>1089</v>
      </c>
      <c r="F13" s="2"/>
      <c r="G13" s="22">
        <f t="shared" ref="G13:H13" si="1">G11*(100%+G12)</f>
        <v>750</v>
      </c>
      <c r="H13" s="22">
        <f t="shared" si="1"/>
        <v>150</v>
      </c>
      <c r="I13" s="79">
        <v>0.21</v>
      </c>
      <c r="M13" s="20">
        <v>3077</v>
      </c>
    </row>
    <row r="14" spans="1:13" x14ac:dyDescent="0.25">
      <c r="A14" s="1" t="s">
        <v>32</v>
      </c>
      <c r="B14" s="22"/>
      <c r="D14" s="97" t="s">
        <v>93</v>
      </c>
      <c r="E14" s="22">
        <f>G14+G14*I14</f>
        <v>302.5</v>
      </c>
      <c r="F14" s="2"/>
      <c r="G14" s="22">
        <v>250</v>
      </c>
      <c r="H14" s="101"/>
      <c r="I14" s="79">
        <v>0.21</v>
      </c>
    </row>
    <row r="15" spans="1:13" x14ac:dyDescent="0.25">
      <c r="A15" s="1" t="s">
        <v>33</v>
      </c>
      <c r="B15" s="22">
        <f>SUM(B13:B14)</f>
        <v>0</v>
      </c>
    </row>
    <row r="16" spans="1:13" ht="49.5" customHeight="1" x14ac:dyDescent="0.25">
      <c r="C16" s="107"/>
      <c r="D16" s="107"/>
      <c r="E16" s="107"/>
      <c r="F16" s="108"/>
      <c r="G16" s="108"/>
      <c r="H16" s="108"/>
      <c r="I16" s="108"/>
    </row>
    <row r="17" spans="2:9" ht="76.900000000000006" customHeight="1" x14ac:dyDescent="0.25">
      <c r="C17" s="109"/>
      <c r="D17" s="109"/>
      <c r="E17" s="109"/>
      <c r="F17" s="109"/>
      <c r="G17" s="109"/>
      <c r="H17" s="109"/>
      <c r="I17" s="109"/>
    </row>
    <row r="18" spans="2:9" ht="56.45" customHeight="1" x14ac:dyDescent="0.25">
      <c r="B18" s="129" t="s">
        <v>54</v>
      </c>
      <c r="C18" s="130"/>
      <c r="D18" s="130"/>
      <c r="E18" s="130"/>
      <c r="F18" s="110"/>
      <c r="G18" s="110"/>
      <c r="H18" s="110"/>
      <c r="I18" s="110"/>
    </row>
    <row r="19" spans="2:9" ht="103.15" customHeight="1" x14ac:dyDescent="0.25">
      <c r="B19" s="123" t="s">
        <v>99</v>
      </c>
      <c r="C19" s="124"/>
      <c r="D19" s="124"/>
      <c r="E19" s="124"/>
      <c r="F19" s="124"/>
      <c r="G19" s="124"/>
      <c r="H19" s="124"/>
      <c r="I19" s="124"/>
    </row>
    <row r="20" spans="2:9" x14ac:dyDescent="0.25">
      <c r="B20" s="125" t="s">
        <v>98</v>
      </c>
      <c r="C20" s="126"/>
      <c r="D20" s="126"/>
      <c r="E20" s="126"/>
      <c r="F20" s="126"/>
      <c r="G20" s="126"/>
      <c r="H20" s="126"/>
      <c r="I20" s="126"/>
    </row>
  </sheetData>
  <mergeCells count="10">
    <mergeCell ref="B19:I19"/>
    <mergeCell ref="B20:I20"/>
    <mergeCell ref="D12:E12"/>
    <mergeCell ref="I3:I4"/>
    <mergeCell ref="B18:E18"/>
    <mergeCell ref="A1:J1"/>
    <mergeCell ref="C3:E3"/>
    <mergeCell ref="G3:G4"/>
    <mergeCell ref="J3:J4"/>
    <mergeCell ref="H3:H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F38"/>
  <sheetViews>
    <sheetView topLeftCell="A7" workbookViewId="0">
      <selection activeCell="B18" sqref="B18"/>
    </sheetView>
  </sheetViews>
  <sheetFormatPr defaultColWidth="8.85546875" defaultRowHeight="15" x14ac:dyDescent="0.25"/>
  <cols>
    <col min="1" max="1" width="34.28515625" style="1" customWidth="1"/>
    <col min="2" max="2" width="25.5703125" style="20" customWidth="1"/>
    <col min="3" max="3" width="13" style="1" customWidth="1"/>
    <col min="4" max="4" width="8.85546875" style="1"/>
    <col min="5" max="5" width="36" style="1" customWidth="1"/>
    <col min="6" max="6" width="12.7109375" style="1" hidden="1" customWidth="1"/>
    <col min="7" max="16384" width="8.85546875" style="1"/>
  </cols>
  <sheetData>
    <row r="1" spans="1:6" ht="28.5" x14ac:dyDescent="0.45">
      <c r="A1" s="131" t="s">
        <v>10</v>
      </c>
      <c r="B1" s="131"/>
    </row>
    <row r="2" spans="1:6" x14ac:dyDescent="0.25">
      <c r="A2" s="2"/>
      <c r="B2" s="3"/>
    </row>
    <row r="3" spans="1:6" x14ac:dyDescent="0.25">
      <c r="A3" s="2" t="s">
        <v>24</v>
      </c>
      <c r="B3" s="3"/>
    </row>
    <row r="4" spans="1:6" x14ac:dyDescent="0.25">
      <c r="A4" s="4">
        <f>Zadání!B5</f>
        <v>0</v>
      </c>
      <c r="B4" s="3"/>
    </row>
    <row r="5" spans="1:6" x14ac:dyDescent="0.25">
      <c r="A5" s="4"/>
      <c r="B5" s="3"/>
      <c r="E5" s="43" t="s">
        <v>12</v>
      </c>
    </row>
    <row r="6" spans="1:6" ht="15" customHeight="1" x14ac:dyDescent="0.3">
      <c r="A6" s="2" t="s">
        <v>11</v>
      </c>
      <c r="B6" s="52">
        <f>Zadání!B13</f>
        <v>0</v>
      </c>
      <c r="E6" s="133" t="s">
        <v>47</v>
      </c>
    </row>
    <row r="7" spans="1:6" ht="4.5" customHeight="1" x14ac:dyDescent="0.25">
      <c r="A7" s="2"/>
      <c r="B7" s="8"/>
      <c r="E7" s="133"/>
    </row>
    <row r="8" spans="1:6" ht="15.75" x14ac:dyDescent="0.25">
      <c r="A8" s="2" t="s">
        <v>0</v>
      </c>
      <c r="B8" s="53">
        <f>Zadání!E5</f>
        <v>0</v>
      </c>
      <c r="E8" s="133"/>
    </row>
    <row r="9" spans="1:6" ht="3.75" customHeight="1" x14ac:dyDescent="0.25">
      <c r="A9" s="2"/>
      <c r="B9" s="8"/>
      <c r="E9" s="17"/>
    </row>
    <row r="10" spans="1:6" x14ac:dyDescent="0.25">
      <c r="A10" s="2" t="s">
        <v>1</v>
      </c>
      <c r="B10" s="8">
        <f>Zadání!L3</f>
        <v>6225.33</v>
      </c>
      <c r="E10" s="17"/>
    </row>
    <row r="11" spans="1:6" ht="17.25" customHeight="1" x14ac:dyDescent="0.25">
      <c r="A11" s="2" t="s">
        <v>2</v>
      </c>
      <c r="B11" s="54">
        <f>Zadání!J5</f>
        <v>0</v>
      </c>
      <c r="E11" s="17"/>
    </row>
    <row r="12" spans="1:6" ht="27.6" customHeight="1" x14ac:dyDescent="0.25">
      <c r="A12" s="2" t="s">
        <v>3</v>
      </c>
      <c r="B12" s="8">
        <f>Zadání!L4</f>
        <v>1556.33</v>
      </c>
      <c r="E12" s="17"/>
      <c r="F12" s="1">
        <f>Zadání!L5</f>
        <v>9338</v>
      </c>
    </row>
    <row r="13" spans="1:6" ht="20.25" customHeight="1" x14ac:dyDescent="0.25">
      <c r="A13" s="2" t="s">
        <v>9</v>
      </c>
      <c r="B13" s="8">
        <f>B12*B11</f>
        <v>0</v>
      </c>
      <c r="E13" s="17"/>
    </row>
    <row r="14" spans="1:6" ht="27.75" customHeight="1" x14ac:dyDescent="0.25">
      <c r="A14" s="2" t="s">
        <v>4</v>
      </c>
      <c r="B14" s="35">
        <f>IF(INT(B13+B10)-(B13+B10)=0,(B13+B10),INT(B13+B10)+1)</f>
        <v>6226</v>
      </c>
      <c r="C14" s="18"/>
      <c r="E14" s="26"/>
    </row>
    <row r="15" spans="1:6" x14ac:dyDescent="0.25">
      <c r="A15" s="2"/>
      <c r="B15" s="8"/>
      <c r="E15" s="17"/>
    </row>
    <row r="16" spans="1:6" x14ac:dyDescent="0.25">
      <c r="A16" s="2" t="s">
        <v>5</v>
      </c>
      <c r="B16" s="8">
        <f>B8-B14</f>
        <v>-6226</v>
      </c>
      <c r="E16" s="17"/>
    </row>
    <row r="17" spans="1:5" x14ac:dyDescent="0.25">
      <c r="A17" s="2" t="s">
        <v>15</v>
      </c>
      <c r="B17" s="8">
        <f>IF(B$16&lt;=F$12,0,B$16-F$12)</f>
        <v>0</v>
      </c>
      <c r="E17" s="17"/>
    </row>
    <row r="18" spans="1:5" x14ac:dyDescent="0.25">
      <c r="A18" s="2" t="s">
        <v>16</v>
      </c>
      <c r="B18" s="8">
        <f>IF(B$16&lt;=F$12,INT(B16/3),INT(Zadání!L6))</f>
        <v>-2076</v>
      </c>
      <c r="E18" s="17"/>
    </row>
    <row r="19" spans="1:5" x14ac:dyDescent="0.25">
      <c r="A19" s="2" t="s">
        <v>17</v>
      </c>
      <c r="B19" s="8">
        <f>B17+B18*2</f>
        <v>-4152</v>
      </c>
      <c r="E19" s="17"/>
    </row>
    <row r="20" spans="1:5" x14ac:dyDescent="0.25">
      <c r="A20" s="2" t="s">
        <v>14</v>
      </c>
      <c r="B20" s="8">
        <f>IF(B19&lt;0,B8,B8-B19)</f>
        <v>0</v>
      </c>
      <c r="E20" s="17"/>
    </row>
    <row r="21" spans="1:5" x14ac:dyDescent="0.25">
      <c r="A21" s="2"/>
      <c r="B21" s="8"/>
      <c r="E21" s="17"/>
    </row>
    <row r="22" spans="1:5" x14ac:dyDescent="0.25">
      <c r="A22" s="2" t="s">
        <v>6</v>
      </c>
      <c r="B22" s="8">
        <f>IF(B19&lt;0,0,B19)</f>
        <v>0</v>
      </c>
      <c r="E22" s="17"/>
    </row>
    <row r="23" spans="1:5" s="25" customFormat="1" x14ac:dyDescent="0.25">
      <c r="A23" s="2" t="s">
        <v>40</v>
      </c>
      <c r="B23" s="55">
        <f>Zadání!G5</f>
        <v>0</v>
      </c>
      <c r="E23" s="17"/>
    </row>
    <row r="24" spans="1:5" x14ac:dyDescent="0.25">
      <c r="A24" s="2" t="s">
        <v>20</v>
      </c>
      <c r="B24" s="55">
        <f>Zadání!H5+(Zadání!I5/Zadání!I7)</f>
        <v>0</v>
      </c>
      <c r="E24" s="17"/>
    </row>
    <row r="25" spans="1:5" s="43" customFormat="1" x14ac:dyDescent="0.25">
      <c r="A25" s="97" t="s">
        <v>91</v>
      </c>
      <c r="B25" s="55">
        <f>Zadání!B9*Zadání!E14</f>
        <v>0</v>
      </c>
      <c r="E25" s="17"/>
    </row>
    <row r="26" spans="1:5" s="43" customFormat="1" x14ac:dyDescent="0.25">
      <c r="A26" s="112" t="s">
        <v>100</v>
      </c>
      <c r="B26" s="55">
        <f>Zadání!B10</f>
        <v>0</v>
      </c>
      <c r="E26" s="17"/>
    </row>
    <row r="27" spans="1:5" s="43" customFormat="1" x14ac:dyDescent="0.25">
      <c r="A27" s="112" t="s">
        <v>101</v>
      </c>
      <c r="B27" s="55">
        <f>Zadání!B11</f>
        <v>0</v>
      </c>
      <c r="E27" s="17"/>
    </row>
    <row r="28" spans="1:5" x14ac:dyDescent="0.25">
      <c r="A28" s="2" t="s">
        <v>7</v>
      </c>
      <c r="B28" s="55">
        <f>IF(Zadání!J12="x",Zadání!E13/2,(IF(Zadání!J12="X",Zadání!E13/2,Zadání!E13)))</f>
        <v>1089</v>
      </c>
      <c r="E28" s="17"/>
    </row>
    <row r="29" spans="1:5" ht="28.5" customHeight="1" x14ac:dyDescent="0.3">
      <c r="A29" s="2" t="s">
        <v>8</v>
      </c>
      <c r="B29" s="11">
        <f>IF((B22-B28-B24+B23)&lt;0.0001,0,B22-B28-B24+B23)</f>
        <v>0</v>
      </c>
      <c r="E29" s="17"/>
    </row>
    <row r="30" spans="1:5" s="33" customFormat="1" ht="3.75" customHeight="1" x14ac:dyDescent="0.15">
      <c r="A30" s="31"/>
      <c r="B30" s="87"/>
    </row>
    <row r="31" spans="1:5" ht="31.5" x14ac:dyDescent="0.35">
      <c r="A31" s="98" t="s">
        <v>92</v>
      </c>
      <c r="B31" s="12">
        <f>B29*60-B25-B26-B27</f>
        <v>0</v>
      </c>
    </row>
    <row r="32" spans="1:5" s="33" customFormat="1" ht="4.5" customHeight="1" x14ac:dyDescent="0.15">
      <c r="A32" s="31"/>
      <c r="B32" s="32"/>
    </row>
    <row r="33" spans="1:2" s="33" customFormat="1" ht="4.5" x14ac:dyDescent="0.15">
      <c r="A33" s="31"/>
      <c r="B33" s="32"/>
    </row>
    <row r="34" spans="1:2" ht="20.25" customHeight="1" x14ac:dyDescent="0.35">
      <c r="A34" s="132" t="str">
        <f>IF(B31&gt;(B6/100*30),"Oddlužení je možné.","Nelze oddlužit.")</f>
        <v>Nelze oddlužit.</v>
      </c>
      <c r="B34" s="132"/>
    </row>
    <row r="35" spans="1:2" s="33" customFormat="1" ht="4.5" x14ac:dyDescent="0.15">
      <c r="A35" s="31"/>
      <c r="B35" s="32"/>
    </row>
    <row r="36" spans="1:2" ht="21" x14ac:dyDescent="0.35">
      <c r="A36" s="2" t="s">
        <v>13</v>
      </c>
      <c r="B36" s="13">
        <f>IF(B31&gt;0,B31/(B6),0)</f>
        <v>0</v>
      </c>
    </row>
    <row r="37" spans="1:2" ht="30" x14ac:dyDescent="0.25">
      <c r="A37" s="14" t="s">
        <v>18</v>
      </c>
      <c r="B37" s="15" t="str">
        <f>IF(B36&gt;=100%,INT(B6/B29)+1,"Více než 60 měsíců")</f>
        <v>Více než 60 měsíců</v>
      </c>
    </row>
    <row r="38" spans="1:2" ht="21" x14ac:dyDescent="0.35">
      <c r="B38" s="19"/>
    </row>
  </sheetData>
  <mergeCells count="3">
    <mergeCell ref="A1:B1"/>
    <mergeCell ref="A34:B34"/>
    <mergeCell ref="E6:E8"/>
  </mergeCells>
  <conditionalFormatting sqref="A34:B34">
    <cfRule type="containsText" dxfId="7" priority="3" operator="containsText" text="Nelze oddlužit.">
      <formula>NOT(ISERROR(SEARCH("Nelze oddlužit.",A34)))</formula>
    </cfRule>
    <cfRule type="containsText" dxfId="6" priority="4" operator="containsText" text="Oddlužení je možné.">
      <formula>NOT(ISERROR(SEARCH("Oddlužení je možné.",A34)))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F35"/>
  <sheetViews>
    <sheetView zoomScaleNormal="100" workbookViewId="0">
      <selection activeCell="D20" sqref="D20"/>
    </sheetView>
  </sheetViews>
  <sheetFormatPr defaultColWidth="8.85546875" defaultRowHeight="15" x14ac:dyDescent="0.25"/>
  <cols>
    <col min="1" max="1" width="34.28515625" style="1" customWidth="1"/>
    <col min="2" max="2" width="25.5703125" style="20" customWidth="1"/>
    <col min="3" max="3" width="13" style="1" customWidth="1"/>
    <col min="4" max="4" width="8.85546875" style="1"/>
    <col min="5" max="5" width="36" style="1" customWidth="1"/>
    <col min="6" max="6" width="12.7109375" style="1" customWidth="1"/>
    <col min="7" max="16384" width="8.85546875" style="1"/>
  </cols>
  <sheetData>
    <row r="1" spans="1:6" ht="28.5" x14ac:dyDescent="0.45">
      <c r="A1" s="134" t="s">
        <v>10</v>
      </c>
      <c r="B1" s="135"/>
    </row>
    <row r="2" spans="1:6" x14ac:dyDescent="0.25">
      <c r="A2" s="36"/>
      <c r="B2" s="37"/>
    </row>
    <row r="3" spans="1:6" x14ac:dyDescent="0.25">
      <c r="A3" s="36" t="s">
        <v>24</v>
      </c>
      <c r="B3" s="37"/>
    </row>
    <row r="4" spans="1:6" x14ac:dyDescent="0.25">
      <c r="A4" s="38">
        <f>Zadání!B6</f>
        <v>0</v>
      </c>
      <c r="B4" s="37"/>
    </row>
    <row r="5" spans="1:6" x14ac:dyDescent="0.25">
      <c r="A5" s="38"/>
      <c r="B5" s="37"/>
      <c r="E5" s="1" t="s">
        <v>12</v>
      </c>
    </row>
    <row r="6" spans="1:6" ht="15" customHeight="1" x14ac:dyDescent="0.25">
      <c r="A6" s="36" t="s">
        <v>11</v>
      </c>
      <c r="B6" s="57">
        <f>Zadání!B14</f>
        <v>0</v>
      </c>
      <c r="E6" s="133" t="str">
        <f>'Výpočet u navrhovatele'!E6:E8</f>
        <v>Proveď kontrolu zadaných (oranžových) polí.</v>
      </c>
    </row>
    <row r="7" spans="1:6" ht="4.5" customHeight="1" x14ac:dyDescent="0.25">
      <c r="A7" s="36"/>
      <c r="B7" s="39"/>
      <c r="E7" s="133"/>
    </row>
    <row r="8" spans="1:6" ht="15.75" x14ac:dyDescent="0.25">
      <c r="A8" s="36" t="s">
        <v>0</v>
      </c>
      <c r="B8" s="57">
        <f>Zadání!E6</f>
        <v>0</v>
      </c>
      <c r="E8" s="133"/>
    </row>
    <row r="9" spans="1:6" ht="3.75" customHeight="1" x14ac:dyDescent="0.25">
      <c r="A9" s="36"/>
      <c r="B9" s="39"/>
      <c r="E9" s="17"/>
    </row>
    <row r="10" spans="1:6" x14ac:dyDescent="0.25">
      <c r="A10" s="36" t="s">
        <v>1</v>
      </c>
      <c r="B10" s="39">
        <f>Zadání!L3</f>
        <v>6225.33</v>
      </c>
      <c r="E10" s="17"/>
    </row>
    <row r="11" spans="1:6" ht="17.25" customHeight="1" x14ac:dyDescent="0.25">
      <c r="A11" s="36" t="s">
        <v>2</v>
      </c>
      <c r="B11" s="58">
        <f>Zadání!J6</f>
        <v>0</v>
      </c>
      <c r="E11" s="17"/>
    </row>
    <row r="12" spans="1:6" ht="17.25" hidden="1" customHeight="1" x14ac:dyDescent="0.25">
      <c r="A12" s="36" t="s">
        <v>3</v>
      </c>
      <c r="B12" s="39">
        <f>Zadání!L4</f>
        <v>1556.33</v>
      </c>
      <c r="E12" s="17"/>
      <c r="F12" s="1">
        <f>Zadání!L5</f>
        <v>9338</v>
      </c>
    </row>
    <row r="13" spans="1:6" ht="20.25" customHeight="1" x14ac:dyDescent="0.25">
      <c r="A13" s="36" t="s">
        <v>9</v>
      </c>
      <c r="B13" s="39">
        <f>B12*B11</f>
        <v>0</v>
      </c>
      <c r="E13" s="17"/>
    </row>
    <row r="14" spans="1:6" ht="27.75" customHeight="1" x14ac:dyDescent="0.25">
      <c r="A14" s="36" t="s">
        <v>4</v>
      </c>
      <c r="B14" s="40">
        <f>IF(INT(B13+B10)-(B13+B10)=0,(B13+B10),INT(B13+B10)+1)</f>
        <v>6226</v>
      </c>
      <c r="C14" s="18"/>
      <c r="E14" s="17"/>
    </row>
    <row r="15" spans="1:6" x14ac:dyDescent="0.25">
      <c r="A15" s="36"/>
      <c r="B15" s="39"/>
      <c r="E15" s="17"/>
    </row>
    <row r="16" spans="1:6" x14ac:dyDescent="0.25">
      <c r="A16" s="36" t="s">
        <v>5</v>
      </c>
      <c r="B16" s="39">
        <f>B8-B14</f>
        <v>-6226</v>
      </c>
      <c r="E16" s="17"/>
    </row>
    <row r="17" spans="1:5" x14ac:dyDescent="0.25">
      <c r="A17" s="36" t="s">
        <v>15</v>
      </c>
      <c r="B17" s="39">
        <f>IF(B$16&lt;=F$12,0,B$16-F$12)</f>
        <v>0</v>
      </c>
      <c r="E17" s="17"/>
    </row>
    <row r="18" spans="1:5" x14ac:dyDescent="0.25">
      <c r="A18" s="36" t="s">
        <v>16</v>
      </c>
      <c r="B18" s="39">
        <f>IF(B$16&lt;=F$12,INT(B16/3),INT(Zadání!L6))</f>
        <v>-2076</v>
      </c>
      <c r="E18" s="17"/>
    </row>
    <row r="19" spans="1:5" x14ac:dyDescent="0.25">
      <c r="A19" s="36" t="s">
        <v>17</v>
      </c>
      <c r="B19" s="8">
        <f>B17+B18*2</f>
        <v>-4152</v>
      </c>
      <c r="E19" s="17"/>
    </row>
    <row r="20" spans="1:5" x14ac:dyDescent="0.25">
      <c r="A20" s="36" t="s">
        <v>14</v>
      </c>
      <c r="B20" s="8">
        <f>IF(B19&lt;0,B8,B8-B19)</f>
        <v>0</v>
      </c>
      <c r="E20" s="17"/>
    </row>
    <row r="21" spans="1:5" x14ac:dyDescent="0.25">
      <c r="A21" s="36"/>
      <c r="B21" s="8"/>
      <c r="E21" s="17"/>
    </row>
    <row r="22" spans="1:5" x14ac:dyDescent="0.25">
      <c r="A22" s="36" t="s">
        <v>6</v>
      </c>
      <c r="B22" s="8">
        <f>IF(B19&lt;0,0,B19)</f>
        <v>0</v>
      </c>
      <c r="E22" s="26"/>
    </row>
    <row r="23" spans="1:5" s="25" customFormat="1" x14ac:dyDescent="0.25">
      <c r="A23" s="36" t="s">
        <v>40</v>
      </c>
      <c r="B23" s="56">
        <f>Zadání!G6</f>
        <v>0</v>
      </c>
      <c r="E23" s="26"/>
    </row>
    <row r="24" spans="1:5" x14ac:dyDescent="0.25">
      <c r="A24" s="36" t="s">
        <v>20</v>
      </c>
      <c r="B24" s="56">
        <f>Zadání!H6+(Zadání!I6/Zadání!I7)</f>
        <v>0</v>
      </c>
      <c r="E24" s="17"/>
    </row>
    <row r="25" spans="1:5" x14ac:dyDescent="0.25">
      <c r="A25" s="36" t="s">
        <v>7</v>
      </c>
      <c r="B25" s="56">
        <f>IF(Zadání!J12="x",Zadání!E13/2,(IF(Zadání!J12="X",Zadání!E13/2,0)))</f>
        <v>0</v>
      </c>
      <c r="E25" s="17"/>
    </row>
    <row r="26" spans="1:5" ht="28.5" customHeight="1" x14ac:dyDescent="0.3">
      <c r="A26" s="36" t="s">
        <v>8</v>
      </c>
      <c r="B26" s="11">
        <f>IF((B22-B25-B24+B23)&lt;0.0001,0,B22-B25-B24+B23)</f>
        <v>0</v>
      </c>
      <c r="E26" s="17"/>
    </row>
    <row r="27" spans="1:5" s="33" customFormat="1" ht="3.75" customHeight="1" x14ac:dyDescent="0.15">
      <c r="A27" s="41"/>
      <c r="B27" s="88"/>
    </row>
    <row r="28" spans="1:5" ht="31.5" x14ac:dyDescent="0.35">
      <c r="A28" s="98" t="s">
        <v>92</v>
      </c>
      <c r="B28" s="12">
        <f>B26*60</f>
        <v>0</v>
      </c>
    </row>
    <row r="29" spans="1:5" s="33" customFormat="1" ht="4.5" customHeight="1" x14ac:dyDescent="0.15">
      <c r="A29" s="41"/>
      <c r="B29" s="42"/>
    </row>
    <row r="30" spans="1:5" s="33" customFormat="1" ht="4.5" x14ac:dyDescent="0.15">
      <c r="A30" s="41"/>
      <c r="B30" s="42"/>
    </row>
    <row r="31" spans="1:5" ht="20.25" customHeight="1" x14ac:dyDescent="0.35">
      <c r="A31" s="136" t="str">
        <f>IF(B28&gt;(B6/100*30),"Oddlužení je možné.","Nelze oddlužit.")</f>
        <v>Nelze oddlužit.</v>
      </c>
      <c r="B31" s="137"/>
      <c r="E31" s="43"/>
    </row>
    <row r="32" spans="1:5" s="33" customFormat="1" ht="4.5" x14ac:dyDescent="0.15">
      <c r="A32" s="41"/>
      <c r="B32" s="42"/>
    </row>
    <row r="33" spans="1:2" ht="21" x14ac:dyDescent="0.35">
      <c r="A33" s="51" t="s">
        <v>13</v>
      </c>
      <c r="B33" s="13">
        <f>IF(B28&gt;0,B28/(B6),0)</f>
        <v>0</v>
      </c>
    </row>
    <row r="34" spans="1:2" ht="30" x14ac:dyDescent="0.25">
      <c r="A34" s="14" t="s">
        <v>18</v>
      </c>
      <c r="B34" s="15" t="str">
        <f>IF(B33&gt;=100%,INT(B6/B26)+1,"Více než 60 měsíců")</f>
        <v>Více než 60 měsíců</v>
      </c>
    </row>
    <row r="35" spans="1:2" ht="21" x14ac:dyDescent="0.35">
      <c r="B35" s="19"/>
    </row>
  </sheetData>
  <mergeCells count="3">
    <mergeCell ref="A1:B1"/>
    <mergeCell ref="A31:B31"/>
    <mergeCell ref="E6:E8"/>
  </mergeCells>
  <conditionalFormatting sqref="A31:B31">
    <cfRule type="containsText" dxfId="5" priority="1" operator="containsText" text="Nelze oddlužit.">
      <formula>NOT(ISERROR(SEARCH("Nelze oddlužit.",A31)))</formula>
    </cfRule>
    <cfRule type="containsText" dxfId="4" priority="2" operator="containsText" text="Oddlužení je možné.">
      <formula>NOT(ISERROR(SEARCH("Oddlužení je možné.",A31)))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E28"/>
  <sheetViews>
    <sheetView topLeftCell="A4" workbookViewId="0">
      <selection activeCell="B22" sqref="B22"/>
    </sheetView>
  </sheetViews>
  <sheetFormatPr defaultColWidth="8.85546875" defaultRowHeight="15" x14ac:dyDescent="0.25"/>
  <cols>
    <col min="1" max="1" width="34.28515625" style="1" customWidth="1"/>
    <col min="2" max="2" width="25.5703125" style="20" customWidth="1"/>
    <col min="3" max="3" width="13" style="1" customWidth="1"/>
    <col min="4" max="4" width="8.85546875" style="1"/>
    <col min="5" max="5" width="36" style="1" customWidth="1"/>
    <col min="6" max="6" width="12.7109375" style="1" customWidth="1"/>
    <col min="7" max="16384" width="8.85546875" style="1"/>
  </cols>
  <sheetData>
    <row r="1" spans="1:5" ht="28.5" x14ac:dyDescent="0.45">
      <c r="A1" s="131" t="s">
        <v>10</v>
      </c>
      <c r="B1" s="131"/>
    </row>
    <row r="2" spans="1:5" x14ac:dyDescent="0.25">
      <c r="A2" s="2"/>
      <c r="B2" s="3"/>
    </row>
    <row r="3" spans="1:5" x14ac:dyDescent="0.25">
      <c r="A3" s="2" t="s">
        <v>24</v>
      </c>
      <c r="B3" s="3"/>
    </row>
    <row r="4" spans="1:5" x14ac:dyDescent="0.25">
      <c r="A4" s="4">
        <f>Zadání!B7</f>
        <v>0</v>
      </c>
      <c r="B4" s="3"/>
    </row>
    <row r="5" spans="1:5" x14ac:dyDescent="0.25">
      <c r="A5" s="4"/>
      <c r="B5" s="3"/>
      <c r="E5" s="1" t="s">
        <v>12</v>
      </c>
    </row>
    <row r="6" spans="1:5" ht="15" customHeight="1" x14ac:dyDescent="0.3">
      <c r="A6" s="2" t="s">
        <v>11</v>
      </c>
      <c r="B6" s="5">
        <f>Zadání!B15</f>
        <v>0</v>
      </c>
      <c r="E6" s="133" t="s">
        <v>50</v>
      </c>
    </row>
    <row r="7" spans="1:5" ht="4.5" customHeight="1" x14ac:dyDescent="0.25">
      <c r="A7" s="2"/>
      <c r="B7" s="6"/>
      <c r="E7" s="133"/>
    </row>
    <row r="8" spans="1:5" ht="15.75" x14ac:dyDescent="0.25">
      <c r="A8" s="2" t="s">
        <v>82</v>
      </c>
      <c r="B8" s="7">
        <f>IF('Výpočet u navrhovatele'!B8&lt;0,0,'Výpočet u navrhovatele'!B8)+IF('2. z manželů'!B8&lt;0,0,'2. z manželů'!B8)</f>
        <v>0</v>
      </c>
      <c r="E8" s="133"/>
    </row>
    <row r="9" spans="1:5" ht="3.75" customHeight="1" x14ac:dyDescent="0.25">
      <c r="A9" s="2"/>
      <c r="B9" s="8"/>
      <c r="E9" s="133"/>
    </row>
    <row r="10" spans="1:5" x14ac:dyDescent="0.25">
      <c r="A10" s="2" t="s">
        <v>35</v>
      </c>
      <c r="B10" s="9">
        <f>IF('Výpočet u navrhovatele'!B20=0,'Výpočet u navrhovatele'!B8,'Výpočet u navrhovatele'!B20)+IF('2. z manželů'!B20=0,'2. z manželů'!B8,'2. z manželů'!B20)</f>
        <v>0</v>
      </c>
      <c r="E10" s="133"/>
    </row>
    <row r="11" spans="1:5" ht="17.25" customHeight="1" x14ac:dyDescent="0.25">
      <c r="A11" s="2"/>
      <c r="B11" s="8"/>
      <c r="E11" s="133"/>
    </row>
    <row r="12" spans="1:5" ht="16.899999999999999" customHeight="1" x14ac:dyDescent="0.25">
      <c r="A12" s="2" t="s">
        <v>36</v>
      </c>
      <c r="B12" s="6">
        <f>'Výpočet u navrhovatele'!B22+'2. z manželů'!B22</f>
        <v>0</v>
      </c>
      <c r="E12" s="133"/>
    </row>
    <row r="13" spans="1:5" s="25" customFormat="1" ht="16.899999999999999" customHeight="1" x14ac:dyDescent="0.25">
      <c r="A13" s="2" t="s">
        <v>42</v>
      </c>
      <c r="B13" s="6">
        <f>'Výpočet u navrhovatele'!B23+'2. z manželů'!B23</f>
        <v>0</v>
      </c>
      <c r="E13" s="133"/>
    </row>
    <row r="14" spans="1:5" ht="20.25" customHeight="1" x14ac:dyDescent="0.25">
      <c r="A14" s="2" t="s">
        <v>20</v>
      </c>
      <c r="B14" s="6">
        <f>'Výpočet u navrhovatele'!B24+'2. z manželů'!B24</f>
        <v>0</v>
      </c>
      <c r="E14" s="133"/>
    </row>
    <row r="15" spans="1:5" s="43" customFormat="1" ht="20.25" customHeight="1" x14ac:dyDescent="0.25">
      <c r="A15" s="99" t="s">
        <v>91</v>
      </c>
      <c r="B15" s="100">
        <f>'Výpočet u navrhovatele'!B25</f>
        <v>0</v>
      </c>
      <c r="E15" s="95"/>
    </row>
    <row r="16" spans="1:5" s="43" customFormat="1" ht="20.25" customHeight="1" x14ac:dyDescent="0.25">
      <c r="A16" s="99" t="str">
        <f>'Výpočet u navrhovatele'!A26</f>
        <v>Odměna za sepis</v>
      </c>
      <c r="B16" s="100">
        <f>'Výpočet u navrhovatele'!B26</f>
        <v>0</v>
      </c>
      <c r="E16" s="102"/>
    </row>
    <row r="17" spans="1:5" s="43" customFormat="1" ht="20.25" customHeight="1" x14ac:dyDescent="0.25">
      <c r="A17" s="99" t="str">
        <f>'Výpočet u navrhovatele'!A27</f>
        <v>Náklady na posudek</v>
      </c>
      <c r="B17" s="100">
        <f>'Výpočet u navrhovatele'!B27</f>
        <v>0</v>
      </c>
      <c r="E17" s="102"/>
    </row>
    <row r="18" spans="1:5" ht="18" customHeight="1" x14ac:dyDescent="0.25">
      <c r="A18" s="2" t="s">
        <v>7</v>
      </c>
      <c r="B18" s="55">
        <f>'Výpočet u navrhovatele'!B28+'2. z manželů'!B25</f>
        <v>1089</v>
      </c>
      <c r="C18" s="18"/>
      <c r="E18" s="17"/>
    </row>
    <row r="19" spans="1:5" ht="18.75" x14ac:dyDescent="0.3">
      <c r="A19" s="2" t="s">
        <v>8</v>
      </c>
      <c r="B19" s="11">
        <f>IF((B12+B13-B18-B14)&lt;0.0001,0,B12+B13-B18-B14)</f>
        <v>0</v>
      </c>
      <c r="E19" s="17"/>
    </row>
    <row r="20" spans="1:5" s="33" customFormat="1" ht="2.25" customHeight="1" x14ac:dyDescent="0.15">
      <c r="A20" s="31"/>
      <c r="B20" s="87"/>
      <c r="E20" s="34"/>
    </row>
    <row r="21" spans="1:5" ht="31.5" x14ac:dyDescent="0.35">
      <c r="A21" s="98" t="s">
        <v>92</v>
      </c>
      <c r="B21" s="12">
        <f>B19*60-B15-B16-B17</f>
        <v>0</v>
      </c>
      <c r="E21" s="17"/>
    </row>
    <row r="22" spans="1:5" s="33" customFormat="1" ht="4.5" x14ac:dyDescent="0.15">
      <c r="A22" s="31"/>
      <c r="B22" s="32"/>
      <c r="E22" s="34"/>
    </row>
    <row r="23" spans="1:5" s="33" customFormat="1" ht="4.5" x14ac:dyDescent="0.15">
      <c r="A23" s="31"/>
      <c r="B23" s="32"/>
      <c r="E23" s="34"/>
    </row>
    <row r="24" spans="1:5" ht="23.25" x14ac:dyDescent="0.35">
      <c r="A24" s="132" t="str">
        <f>IF(B21&gt;(B6/100*30),"Oddlužení je možné.","Nelze oddlužit.")</f>
        <v>Nelze oddlužit.</v>
      </c>
      <c r="B24" s="132"/>
      <c r="E24" s="17"/>
    </row>
    <row r="25" spans="1:5" s="33" customFormat="1" ht="4.5" x14ac:dyDescent="0.15">
      <c r="A25" s="31"/>
      <c r="B25" s="32"/>
      <c r="E25" s="34"/>
    </row>
    <row r="26" spans="1:5" ht="21" x14ac:dyDescent="0.35">
      <c r="A26" s="2" t="s">
        <v>13</v>
      </c>
      <c r="B26" s="13">
        <f>IF(B21&gt;0,B21/(B6),0)</f>
        <v>0</v>
      </c>
      <c r="E26" s="43"/>
    </row>
    <row r="27" spans="1:5" ht="30" x14ac:dyDescent="0.25">
      <c r="A27" s="14" t="s">
        <v>18</v>
      </c>
      <c r="B27" s="15" t="str">
        <f>IF(B26&gt;=100%,INT(B6/B19)+1,"Více než 60 měsíců")</f>
        <v>Více než 60 měsíců</v>
      </c>
      <c r="E27" s="17"/>
    </row>
    <row r="28" spans="1:5" ht="21" x14ac:dyDescent="0.35">
      <c r="B28" s="19"/>
      <c r="E28" s="17"/>
    </row>
  </sheetData>
  <mergeCells count="3">
    <mergeCell ref="A1:B1"/>
    <mergeCell ref="E6:E14"/>
    <mergeCell ref="A24:B24"/>
  </mergeCells>
  <conditionalFormatting sqref="A24:B24">
    <cfRule type="containsText" dxfId="3" priority="1" operator="containsText" text="Nelze oddlužit.">
      <formula>NOT(ISERROR(SEARCH("Nelze oddlužit.",A24)))</formula>
    </cfRule>
    <cfRule type="containsText" dxfId="2" priority="2" operator="containsText" text="Oddlužení je možné.">
      <formula>NOT(ISERROR(SEARCH("Oddlužení je možné.",A24)))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25"/>
  <sheetViews>
    <sheetView topLeftCell="A3" zoomScaleNormal="100" workbookViewId="0">
      <selection activeCell="C10" sqref="C10"/>
    </sheetView>
  </sheetViews>
  <sheetFormatPr defaultColWidth="8.85546875" defaultRowHeight="15" x14ac:dyDescent="0.25"/>
  <cols>
    <col min="1" max="1" width="34.28515625" style="1" customWidth="1"/>
    <col min="2" max="2" width="25.5703125" style="20" customWidth="1"/>
    <col min="3" max="3" width="13" style="1" customWidth="1"/>
    <col min="4" max="4" width="8.85546875" style="1"/>
    <col min="5" max="5" width="36" style="1" customWidth="1"/>
    <col min="6" max="6" width="15.140625" style="1" customWidth="1"/>
    <col min="7" max="16384" width="8.85546875" style="1"/>
  </cols>
  <sheetData>
    <row r="1" spans="1:7" ht="28.5" x14ac:dyDescent="0.45">
      <c r="A1" s="131" t="s">
        <v>10</v>
      </c>
      <c r="B1" s="131"/>
    </row>
    <row r="2" spans="1:7" x14ac:dyDescent="0.25">
      <c r="A2" s="2"/>
      <c r="B2" s="3"/>
    </row>
    <row r="3" spans="1:7" x14ac:dyDescent="0.25">
      <c r="A3" s="2" t="s">
        <v>24</v>
      </c>
      <c r="B3" s="3"/>
    </row>
    <row r="4" spans="1:7" x14ac:dyDescent="0.25">
      <c r="A4" s="4">
        <f>IF(Zadání!B7=0,Zadání!B5,Zadání!B7)</f>
        <v>0</v>
      </c>
      <c r="B4" s="3"/>
    </row>
    <row r="5" spans="1:7" x14ac:dyDescent="0.25">
      <c r="A5" s="4"/>
      <c r="B5" s="3"/>
      <c r="E5" s="1" t="s">
        <v>12</v>
      </c>
    </row>
    <row r="6" spans="1:7" ht="15" customHeight="1" x14ac:dyDescent="0.3">
      <c r="A6" s="2" t="s">
        <v>11</v>
      </c>
      <c r="B6" s="5">
        <f>'Společné oddlužení manželů'!B6</f>
        <v>0</v>
      </c>
      <c r="E6" s="133" t="s">
        <v>45</v>
      </c>
    </row>
    <row r="7" spans="1:7" ht="4.5" customHeight="1" x14ac:dyDescent="0.25">
      <c r="A7" s="2"/>
      <c r="B7" s="8"/>
      <c r="E7" s="133"/>
    </row>
    <row r="8" spans="1:7" x14ac:dyDescent="0.25">
      <c r="A8" s="50" t="s">
        <v>46</v>
      </c>
      <c r="B8" s="16">
        <f>'Společné oddlužení manželů'!B8-B10</f>
        <v>-1000</v>
      </c>
      <c r="E8" s="133"/>
    </row>
    <row r="9" spans="1:7" x14ac:dyDescent="0.25">
      <c r="A9" s="2"/>
      <c r="B9" s="8"/>
      <c r="E9" s="133"/>
    </row>
    <row r="10" spans="1:7" x14ac:dyDescent="0.25">
      <c r="A10" s="2" t="s">
        <v>39</v>
      </c>
      <c r="B10" s="10">
        <v>1000</v>
      </c>
      <c r="E10" s="133"/>
    </row>
    <row r="11" spans="1:7" x14ac:dyDescent="0.25">
      <c r="A11" s="2" t="s">
        <v>20</v>
      </c>
      <c r="B11" s="6">
        <f>'Společné oddlužení manželů'!B14</f>
        <v>0</v>
      </c>
      <c r="E11" s="133"/>
    </row>
    <row r="12" spans="1:7" s="43" customFormat="1" x14ac:dyDescent="0.25">
      <c r="A12" s="99" t="s">
        <v>91</v>
      </c>
      <c r="B12" s="100">
        <f>'Společné oddlužení manželů'!B15</f>
        <v>0</v>
      </c>
      <c r="E12" s="133"/>
    </row>
    <row r="13" spans="1:7" s="43" customFormat="1" x14ac:dyDescent="0.25">
      <c r="A13" s="112" t="s">
        <v>100</v>
      </c>
      <c r="B13" s="100">
        <f>'Společné oddlužení manželů'!B16</f>
        <v>0</v>
      </c>
      <c r="E13" s="133"/>
    </row>
    <row r="14" spans="1:7" s="43" customFormat="1" x14ac:dyDescent="0.25">
      <c r="A14" s="112" t="s">
        <v>101</v>
      </c>
      <c r="B14" s="100">
        <f>'Společné oddlužení manželů'!B17</f>
        <v>0</v>
      </c>
      <c r="E14" s="133"/>
    </row>
    <row r="15" spans="1:7" x14ac:dyDescent="0.25">
      <c r="A15" s="2" t="s">
        <v>7</v>
      </c>
      <c r="B15" s="10">
        <f>IF(Zadání!E13&gt;Zadání!E11,Zadání!E13,Zadání!E11)</f>
        <v>1089</v>
      </c>
      <c r="E15" s="133"/>
    </row>
    <row r="16" spans="1:7" ht="28.5" customHeight="1" x14ac:dyDescent="0.3">
      <c r="A16" s="2" t="s">
        <v>8</v>
      </c>
      <c r="B16" s="11">
        <f>B10-B15-B11</f>
        <v>-89</v>
      </c>
      <c r="E16" s="133"/>
      <c r="F16" s="114" t="s">
        <v>102</v>
      </c>
      <c r="G16" s="2">
        <v>60</v>
      </c>
    </row>
    <row r="17" spans="1:6" ht="3.75" customHeight="1" x14ac:dyDescent="0.25">
      <c r="A17" s="2"/>
      <c r="B17" s="8"/>
    </row>
    <row r="18" spans="1:6" ht="32.450000000000003" customHeight="1" x14ac:dyDescent="0.35">
      <c r="A18" s="98" t="s">
        <v>92</v>
      </c>
      <c r="B18" s="12">
        <f>B16*60-B12-B13-B14</f>
        <v>-5340</v>
      </c>
      <c r="E18" s="82" t="s">
        <v>80</v>
      </c>
    </row>
    <row r="19" spans="1:6" ht="4.5" customHeight="1" x14ac:dyDescent="0.25">
      <c r="A19" s="31"/>
      <c r="B19" s="32"/>
    </row>
    <row r="20" spans="1:6" x14ac:dyDescent="0.25">
      <c r="A20" s="31"/>
      <c r="B20" s="32"/>
      <c r="E20" s="85" t="s">
        <v>79</v>
      </c>
      <c r="F20" s="83">
        <v>0.3</v>
      </c>
    </row>
    <row r="21" spans="1:6" ht="20.25" customHeight="1" x14ac:dyDescent="0.35">
      <c r="A21" s="132" t="str">
        <f>IF(B18&gt;(B6/100*30),"Oddlužení je možné.","Nelze oddlužit.")</f>
        <v>Nelze oddlužit.</v>
      </c>
      <c r="B21" s="132"/>
      <c r="E21" s="85" t="s">
        <v>81</v>
      </c>
      <c r="F21" s="86">
        <f>B6*F20/60+B15+B11+(B12+B13+B14)/G16</f>
        <v>1089</v>
      </c>
    </row>
    <row r="22" spans="1:6" x14ac:dyDescent="0.25">
      <c r="A22" s="31"/>
      <c r="B22" s="32"/>
      <c r="E22" s="85" t="s">
        <v>86</v>
      </c>
      <c r="F22" s="84">
        <f>'Výpočet u navrhovatele'!B22+'2. z manželů'!B22</f>
        <v>0</v>
      </c>
    </row>
    <row r="23" spans="1:6" ht="21" x14ac:dyDescent="0.35">
      <c r="A23" s="2" t="s">
        <v>13</v>
      </c>
      <c r="B23" s="13">
        <f>IF(B18&gt;0,B18/(B6),0)</f>
        <v>0</v>
      </c>
      <c r="E23" s="85" t="s">
        <v>83</v>
      </c>
      <c r="F23" s="86">
        <f>IF(('Výpočet u navrhovatele'!B22+'2. z manželů'!B22-'Přímé zadání splátky'!F21)&gt;0,0,'Přímé zadání splátky'!F21-'Výpočet u navrhovatele'!B22-'2. z manželů'!B22)</f>
        <v>1089</v>
      </c>
    </row>
    <row r="24" spans="1:6" ht="30" x14ac:dyDescent="0.25">
      <c r="A24" s="14" t="s">
        <v>18</v>
      </c>
      <c r="B24" s="15" t="str">
        <f>IF(B23&gt;=100%,INT(B6/B16)+1,"Více než 60 měsíců")</f>
        <v>Více než 60 měsíců</v>
      </c>
    </row>
    <row r="25" spans="1:6" ht="21" x14ac:dyDescent="0.35">
      <c r="B25" s="19"/>
    </row>
  </sheetData>
  <mergeCells count="3">
    <mergeCell ref="A1:B1"/>
    <mergeCell ref="A21:B21"/>
    <mergeCell ref="E6:E16"/>
  </mergeCells>
  <conditionalFormatting sqref="A21:B21">
    <cfRule type="containsText" dxfId="1" priority="1" operator="containsText" text="Nelze oddlužit.">
      <formula>NOT(ISERROR(SEARCH("Nelze oddlužit.",A21)))</formula>
    </cfRule>
    <cfRule type="containsText" dxfId="0" priority="2" operator="containsText" text="Oddlužení je možné.">
      <formula>NOT(ISERROR(SEARCH("Oddlužení je možné.",A21)))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E18"/>
  <sheetViews>
    <sheetView workbookViewId="0">
      <selection activeCell="D13" sqref="D13"/>
    </sheetView>
  </sheetViews>
  <sheetFormatPr defaultColWidth="8.85546875" defaultRowHeight="15" x14ac:dyDescent="0.25"/>
  <cols>
    <col min="1" max="1" width="8.85546875" style="1"/>
    <col min="2" max="2" width="18.5703125" style="1" customWidth="1"/>
    <col min="3" max="3" width="17.85546875" style="1" customWidth="1"/>
    <col min="4" max="4" width="21.28515625" style="1" customWidth="1"/>
    <col min="5" max="16384" width="8.85546875" style="1"/>
  </cols>
  <sheetData>
    <row r="1" spans="1:5" x14ac:dyDescent="0.25">
      <c r="A1" s="1" t="s">
        <v>23</v>
      </c>
    </row>
    <row r="3" spans="1:5" x14ac:dyDescent="0.25">
      <c r="A3" s="27"/>
      <c r="B3" s="28"/>
      <c r="D3" s="43" t="s">
        <v>44</v>
      </c>
      <c r="E3" s="49">
        <v>6</v>
      </c>
    </row>
    <row r="4" spans="1:5" x14ac:dyDescent="0.25">
      <c r="A4" s="27"/>
      <c r="B4" s="28"/>
    </row>
    <row r="5" spans="1:5" x14ac:dyDescent="0.25">
      <c r="A5" s="27"/>
      <c r="B5" s="28"/>
    </row>
    <row r="6" spans="1:5" x14ac:dyDescent="0.25">
      <c r="A6" s="27"/>
      <c r="B6" s="28"/>
    </row>
    <row r="7" spans="1:5" x14ac:dyDescent="0.25">
      <c r="A7" s="27"/>
      <c r="B7" s="28"/>
    </row>
    <row r="8" spans="1:5" x14ac:dyDescent="0.25">
      <c r="A8" s="27"/>
      <c r="B8" s="28"/>
    </row>
    <row r="9" spans="1:5" x14ac:dyDescent="0.25">
      <c r="A9" s="27"/>
      <c r="B9" s="20">
        <f>SUM(B3:B8)</f>
        <v>0</v>
      </c>
      <c r="C9" s="43" t="s">
        <v>43</v>
      </c>
    </row>
    <row r="10" spans="1:5" x14ac:dyDescent="0.25">
      <c r="A10" s="27"/>
      <c r="B10" s="29"/>
      <c r="C10" s="18"/>
    </row>
    <row r="11" spans="1:5" x14ac:dyDescent="0.25">
      <c r="A11" s="27"/>
      <c r="B11" s="20"/>
      <c r="C11" s="18"/>
    </row>
    <row r="12" spans="1:5" x14ac:dyDescent="0.25">
      <c r="A12" s="27"/>
      <c r="B12" s="30">
        <f>B9/E3</f>
        <v>0</v>
      </c>
      <c r="C12" s="1" t="s">
        <v>21</v>
      </c>
    </row>
    <row r="13" spans="1:5" x14ac:dyDescent="0.25">
      <c r="A13" s="27"/>
      <c r="B13" s="20"/>
    </row>
    <row r="14" spans="1:5" x14ac:dyDescent="0.25">
      <c r="A14" s="27"/>
      <c r="B14" s="28"/>
      <c r="C14" s="1" t="s">
        <v>22</v>
      </c>
    </row>
    <row r="15" spans="1:5" x14ac:dyDescent="0.25">
      <c r="A15" s="27"/>
      <c r="B15" s="20"/>
    </row>
    <row r="16" spans="1:5" x14ac:dyDescent="0.25">
      <c r="A16" s="27"/>
      <c r="B16" s="20"/>
    </row>
    <row r="17" spans="1:3" x14ac:dyDescent="0.25">
      <c r="A17" s="27"/>
      <c r="B17" s="30">
        <f>(B9-B14)/E3</f>
        <v>0</v>
      </c>
      <c r="C17" s="1" t="s">
        <v>19</v>
      </c>
    </row>
    <row r="18" spans="1:3" x14ac:dyDescent="0.25">
      <c r="A18" s="27"/>
      <c r="B18" s="20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24"/>
  <sheetViews>
    <sheetView workbookViewId="0">
      <selection activeCell="A3" sqref="A3:C3"/>
    </sheetView>
  </sheetViews>
  <sheetFormatPr defaultRowHeight="15" x14ac:dyDescent="0.25"/>
  <cols>
    <col min="1" max="1" width="22.85546875" customWidth="1"/>
    <col min="2" max="2" width="1.7109375" customWidth="1"/>
    <col min="3" max="3" width="16.42578125" customWidth="1"/>
    <col min="6" max="6" width="9.5703125" customWidth="1"/>
    <col min="8" max="8" width="2.85546875" customWidth="1"/>
    <col min="9" max="9" width="4.7109375" customWidth="1"/>
    <col min="11" max="11" width="19.5703125" customWidth="1"/>
    <col min="12" max="12" width="19.7109375" customWidth="1"/>
    <col min="14" max="14" width="18" customWidth="1"/>
    <col min="15" max="15" width="20.85546875" customWidth="1"/>
  </cols>
  <sheetData>
    <row r="2" spans="1:15" ht="43.15" customHeight="1" x14ac:dyDescent="0.25">
      <c r="A2" s="139" t="s">
        <v>103</v>
      </c>
      <c r="B2" s="139"/>
      <c r="C2" s="139"/>
      <c r="D2" s="144"/>
      <c r="E2" s="144"/>
      <c r="F2" s="144"/>
      <c r="K2" s="138"/>
      <c r="L2" s="138"/>
      <c r="M2" s="90"/>
      <c r="N2" s="138">
        <f>K2</f>
        <v>0</v>
      </c>
      <c r="O2" s="138"/>
    </row>
    <row r="3" spans="1:15" ht="14.45" customHeight="1" x14ac:dyDescent="0.25">
      <c r="A3" s="139"/>
      <c r="B3" s="139"/>
      <c r="C3" s="139"/>
      <c r="D3" s="144"/>
      <c r="E3" s="144"/>
      <c r="F3" s="144"/>
      <c r="K3" s="62" t="s">
        <v>57</v>
      </c>
      <c r="L3" s="63">
        <v>48</v>
      </c>
      <c r="N3" s="62" t="s">
        <v>57</v>
      </c>
      <c r="O3" s="63">
        <v>156</v>
      </c>
    </row>
    <row r="4" spans="1:15" ht="16.149999999999999" customHeight="1" thickBot="1" x14ac:dyDescent="0.3">
      <c r="A4" s="64"/>
      <c r="B4" s="64"/>
      <c r="C4" s="64"/>
      <c r="D4" s="93"/>
      <c r="E4" s="93"/>
      <c r="F4" s="93"/>
      <c r="K4" s="62" t="s">
        <v>58</v>
      </c>
      <c r="L4" s="65">
        <v>1</v>
      </c>
      <c r="N4" s="62" t="s">
        <v>58</v>
      </c>
      <c r="O4" s="65">
        <v>1</v>
      </c>
    </row>
    <row r="5" spans="1:15" ht="15.75" thickBot="1" x14ac:dyDescent="0.3">
      <c r="A5" s="66" t="s">
        <v>59</v>
      </c>
      <c r="B5" s="67"/>
      <c r="C5" s="68">
        <f>L13</f>
        <v>341</v>
      </c>
      <c r="D5" s="140"/>
      <c r="E5" s="141"/>
      <c r="F5" s="141"/>
      <c r="K5" s="62" t="s">
        <v>60</v>
      </c>
      <c r="L5" s="69">
        <v>29.8</v>
      </c>
      <c r="N5" s="62" t="s">
        <v>60</v>
      </c>
      <c r="O5" s="69">
        <v>29.8</v>
      </c>
    </row>
    <row r="6" spans="1:15" ht="15.75" thickBot="1" x14ac:dyDescent="0.3">
      <c r="A6" s="66" t="s">
        <v>72</v>
      </c>
      <c r="B6" s="67"/>
      <c r="C6" s="68">
        <f>O13</f>
        <v>1109</v>
      </c>
      <c r="D6" s="142"/>
      <c r="E6" s="143"/>
      <c r="F6" s="143"/>
      <c r="K6" s="62"/>
      <c r="L6" s="62"/>
      <c r="N6" s="62"/>
      <c r="O6" s="62"/>
    </row>
    <row r="7" spans="1:15" ht="15.75" thickBot="1" x14ac:dyDescent="0.3">
      <c r="A7" s="66" t="s">
        <v>62</v>
      </c>
      <c r="B7" s="67"/>
      <c r="C7" s="70">
        <f>SUM(C5:C6)</f>
        <v>1450</v>
      </c>
      <c r="D7" s="93"/>
      <c r="E7" s="93"/>
      <c r="F7" s="93"/>
      <c r="K7" s="62" t="s">
        <v>61</v>
      </c>
      <c r="L7" s="71">
        <v>4</v>
      </c>
      <c r="N7" s="62" t="s">
        <v>61</v>
      </c>
      <c r="O7" s="71">
        <v>4</v>
      </c>
    </row>
    <row r="8" spans="1:15" ht="15.75" thickBot="1" x14ac:dyDescent="0.3">
      <c r="A8" s="66" t="s">
        <v>76</v>
      </c>
      <c r="B8" s="67"/>
      <c r="C8" s="70">
        <v>295.68</v>
      </c>
      <c r="D8" s="93"/>
      <c r="E8" s="93"/>
      <c r="F8" s="93"/>
      <c r="K8" s="62" t="s">
        <v>63</v>
      </c>
      <c r="L8" s="71">
        <f>L7*L3*L4</f>
        <v>192</v>
      </c>
      <c r="N8" s="62" t="s">
        <v>63</v>
      </c>
      <c r="O8" s="71">
        <f>O7*O3*O4</f>
        <v>624</v>
      </c>
    </row>
    <row r="9" spans="1:15" ht="15.75" thickBot="1" x14ac:dyDescent="0.3">
      <c r="A9" s="73" t="s">
        <v>65</v>
      </c>
      <c r="B9" s="74"/>
      <c r="C9" s="75">
        <f>C7+C8</f>
        <v>1745.68</v>
      </c>
      <c r="D9" s="93"/>
      <c r="E9" s="93"/>
      <c r="F9" s="93"/>
      <c r="K9" s="62" t="s">
        <v>64</v>
      </c>
      <c r="L9" s="72">
        <f>(13.3+8.9+9.2)/3</f>
        <v>10.466666666666667</v>
      </c>
      <c r="N9" s="62" t="s">
        <v>64</v>
      </c>
      <c r="O9" s="72">
        <f>(13.3+8.9+9.2)/3</f>
        <v>10.466666666666667</v>
      </c>
    </row>
    <row r="10" spans="1:15" ht="15.75" thickBot="1" x14ac:dyDescent="0.3">
      <c r="A10" s="66" t="s">
        <v>68</v>
      </c>
      <c r="B10" s="67"/>
      <c r="C10" s="75">
        <f>INT(C9)</f>
        <v>1745</v>
      </c>
      <c r="K10" s="62" t="s">
        <v>66</v>
      </c>
      <c r="L10" s="71">
        <f>INT(L9*L5)/100</f>
        <v>3.11</v>
      </c>
      <c r="N10" s="62" t="s">
        <v>66</v>
      </c>
      <c r="O10" s="71">
        <f>INT(O9*O5)/100</f>
        <v>3.11</v>
      </c>
    </row>
    <row r="11" spans="1:15" x14ac:dyDescent="0.25">
      <c r="K11" s="62" t="s">
        <v>67</v>
      </c>
      <c r="L11" s="71">
        <f>L10*L3*L4</f>
        <v>149.28</v>
      </c>
      <c r="N11" s="62" t="s">
        <v>67</v>
      </c>
      <c r="O11" s="71">
        <f>O10*O3*O4</f>
        <v>485.15999999999997</v>
      </c>
    </row>
    <row r="12" spans="1:15" x14ac:dyDescent="0.25">
      <c r="K12" s="62" t="s">
        <v>69</v>
      </c>
      <c r="L12" s="71">
        <f>INT((L7+L10)*L3)</f>
        <v>341</v>
      </c>
      <c r="N12" s="62" t="s">
        <v>69</v>
      </c>
      <c r="O12" s="71">
        <f>INT((O7+O10)*O3)</f>
        <v>1109</v>
      </c>
    </row>
    <row r="13" spans="1:15" x14ac:dyDescent="0.25">
      <c r="K13" s="62" t="s">
        <v>70</v>
      </c>
      <c r="L13" s="76">
        <f>L12*L4</f>
        <v>341</v>
      </c>
      <c r="N13" s="62" t="s">
        <v>70</v>
      </c>
      <c r="O13" s="76">
        <f>O12*O4</f>
        <v>1109</v>
      </c>
    </row>
    <row r="15" spans="1:15" x14ac:dyDescent="0.25">
      <c r="K15" t="s">
        <v>71</v>
      </c>
      <c r="L15" s="77">
        <f>L8+L11-L13</f>
        <v>0.27999999999997272</v>
      </c>
    </row>
    <row r="19" spans="11:11" x14ac:dyDescent="0.25">
      <c r="K19" s="81" t="s">
        <v>97</v>
      </c>
    </row>
    <row r="21" spans="11:11" x14ac:dyDescent="0.25">
      <c r="K21" t="s">
        <v>78</v>
      </c>
    </row>
    <row r="22" spans="11:11" x14ac:dyDescent="0.25">
      <c r="K22" t="s">
        <v>94</v>
      </c>
    </row>
    <row r="23" spans="11:11" x14ac:dyDescent="0.25">
      <c r="K23" t="s">
        <v>95</v>
      </c>
    </row>
    <row r="24" spans="11:11" x14ac:dyDescent="0.25">
      <c r="K24" t="s">
        <v>96</v>
      </c>
    </row>
  </sheetData>
  <protectedRanges>
    <protectedRange sqref="L3:L5 O3:O5" name="Oblast1_1_1_1"/>
  </protectedRanges>
  <mergeCells count="9">
    <mergeCell ref="K2:L2"/>
    <mergeCell ref="N2:O2"/>
    <mergeCell ref="A3:C3"/>
    <mergeCell ref="D5:F5"/>
    <mergeCell ref="D6:F6"/>
    <mergeCell ref="A2:C2"/>
    <mergeCell ref="D2:D3"/>
    <mergeCell ref="E2:E3"/>
    <mergeCell ref="F2:F3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Zadání</vt:lpstr>
      <vt:lpstr>Výpočet u navrhovatele</vt:lpstr>
      <vt:lpstr>2. z manželů</vt:lpstr>
      <vt:lpstr>Společné oddlužení manželů</vt:lpstr>
      <vt:lpstr>Přímé zadání splátky</vt:lpstr>
      <vt:lpstr>Výpočet průměrného příjmu</vt:lpstr>
      <vt:lpstr>Cestovné</vt:lpstr>
      <vt:lpstr>'2. z manželů'!Oblast_tisku</vt:lpstr>
      <vt:lpstr>'Přímé zadání splátky'!Oblast_tisku</vt:lpstr>
      <vt:lpstr>'Společné oddlužení manželů'!Oblast_tisku</vt:lpstr>
      <vt:lpstr>'Výpočet u navrhovatele'!Oblast_tisku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Zabloudilová</dc:creator>
  <cp:lastModifiedBy>Aneta Zabloudilová</cp:lastModifiedBy>
  <cp:lastPrinted>2010-03-03T12:05:54Z</cp:lastPrinted>
  <dcterms:created xsi:type="dcterms:W3CDTF">2010-03-03T11:17:09Z</dcterms:created>
  <dcterms:modified xsi:type="dcterms:W3CDTF">2018-09-25T08:32:31Z</dcterms:modified>
</cp:coreProperties>
</file>